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530" windowHeight="4770" activeTab="0"/>
  </bookViews>
  <sheets>
    <sheet name="Conventional" sheetId="1" r:id="rId1"/>
    <sheet name="Mark II" sheetId="2" r:id="rId2"/>
    <sheet name="Air Balanced" sheetId="3" r:id="rId3"/>
    <sheet name="RM" sheetId="4" r:id="rId4"/>
    <sheet name="Beam Balanced" sheetId="5" r:id="rId5"/>
    <sheet name="compare" sheetId="6" r:id="rId6"/>
  </sheets>
  <definedNames/>
  <calcPr fullCalcOnLoad="1"/>
</workbook>
</file>

<file path=xl/sharedStrings.xml><?xml version="1.0" encoding="utf-8"?>
<sst xmlns="http://schemas.openxmlformats.org/spreadsheetml/2006/main" count="511" uniqueCount="142">
  <si>
    <t>Data</t>
  </si>
  <si>
    <t>A</t>
  </si>
  <si>
    <t>P</t>
  </si>
  <si>
    <t>C</t>
  </si>
  <si>
    <t>I</t>
  </si>
  <si>
    <t>K</t>
  </si>
  <si>
    <t>R</t>
  </si>
  <si>
    <t>inches</t>
  </si>
  <si>
    <t>Phi</t>
  </si>
  <si>
    <t>Cb</t>
  </si>
  <si>
    <t>Ct</t>
  </si>
  <si>
    <t>Crank</t>
  </si>
  <si>
    <t>Angle-deg</t>
  </si>
  <si>
    <t>PR</t>
  </si>
  <si>
    <t>beta</t>
  </si>
  <si>
    <t>h</t>
  </si>
  <si>
    <t>c</t>
  </si>
  <si>
    <t>alpha</t>
  </si>
  <si>
    <t>Position</t>
  </si>
  <si>
    <t>Velocity</t>
  </si>
  <si>
    <t>(ft/sec)</t>
  </si>
  <si>
    <t>Acceleration</t>
  </si>
  <si>
    <t>Torque Factors &amp; Kinematics</t>
  </si>
  <si>
    <t>Unit:</t>
  </si>
  <si>
    <t>Zero crank angle is the during the up stroke.</t>
  </si>
  <si>
    <t>Zero crank angle is during the up stroke.</t>
  </si>
  <si>
    <t>(ft/sec^2)</t>
  </si>
  <si>
    <t>Tau</t>
  </si>
  <si>
    <t>degrees</t>
  </si>
  <si>
    <t>Well Load</t>
  </si>
  <si>
    <t>Lbs</t>
  </si>
  <si>
    <t>CBE</t>
  </si>
  <si>
    <t>Torque</t>
  </si>
  <si>
    <t>in-lbs</t>
  </si>
  <si>
    <t>Gear Box</t>
  </si>
  <si>
    <t>Load Scale</t>
  </si>
  <si>
    <t>lb/cm</t>
  </si>
  <si>
    <t>lbs</t>
  </si>
  <si>
    <t>at TF</t>
  </si>
  <si>
    <t>in</t>
  </si>
  <si>
    <t>B</t>
  </si>
  <si>
    <t>M</t>
  </si>
  <si>
    <t>Angle-rad</t>
  </si>
  <si>
    <t>deg</t>
  </si>
  <si>
    <t>(lbs)</t>
  </si>
  <si>
    <t>(in-lbs)</t>
  </si>
  <si>
    <t>Cylinder</t>
  </si>
  <si>
    <t>psi at 90 deg</t>
  </si>
  <si>
    <t>Cyl Factor</t>
  </si>
  <si>
    <t>sq in</t>
  </si>
  <si>
    <t>S</t>
  </si>
  <si>
    <t xml:space="preserve">psi  </t>
  </si>
  <si>
    <t>Angle</t>
  </si>
  <si>
    <t>(deg)</t>
  </si>
  <si>
    <t>Polished Rod Position</t>
  </si>
  <si>
    <t>Conv</t>
  </si>
  <si>
    <t>Air</t>
  </si>
  <si>
    <t>RM</t>
  </si>
  <si>
    <t>Polished Rod Velocity</t>
  </si>
  <si>
    <t>Polished Rod Acceleration</t>
  </si>
  <si>
    <t>Mark II</t>
  </si>
  <si>
    <t>Unit Size</t>
  </si>
  <si>
    <t>320-298-100</t>
  </si>
  <si>
    <t>crank rotation</t>
  </si>
  <si>
    <t>rotation</t>
  </si>
  <si>
    <t>neg 1 is backwards</t>
  </si>
  <si>
    <t>Speed</t>
  </si>
  <si>
    <t>spm</t>
  </si>
  <si>
    <t>ft-lbf</t>
  </si>
  <si>
    <t>hp</t>
  </si>
  <si>
    <t>PR Power</t>
  </si>
  <si>
    <t>in-lbf</t>
  </si>
  <si>
    <t>Enter Data In Yellow Fields</t>
  </si>
  <si>
    <t>Polished Rod</t>
  </si>
  <si>
    <t>Factor (in)</t>
  </si>
  <si>
    <t>(inch)</t>
  </si>
  <si>
    <t>Load</t>
  </si>
  <si>
    <t xml:space="preserve">PR </t>
  </si>
  <si>
    <t>Work</t>
  </si>
  <si>
    <t>(ft-lbf)</t>
  </si>
  <si>
    <t>PR Work</t>
  </si>
  <si>
    <t>at</t>
  </si>
  <si>
    <t>Polished Rod (PR)</t>
  </si>
  <si>
    <t>Permissible</t>
  </si>
  <si>
    <t>PR Load</t>
  </si>
  <si>
    <t>(lbf)</t>
  </si>
  <si>
    <t>Unit</t>
  </si>
  <si>
    <t>Enter Data in Yellow Fields</t>
  </si>
  <si>
    <t>(in)</t>
  </si>
  <si>
    <t>(in-lbf)</t>
  </si>
  <si>
    <t>Load (lbf)</t>
  </si>
  <si>
    <t>Motor Power</t>
  </si>
  <si>
    <t>Beam</t>
  </si>
  <si>
    <t>lbf</t>
  </si>
  <si>
    <t>Factor (in</t>
  </si>
  <si>
    <t>positive 1 is CW, negative is CCW with horsehead on the right</t>
  </si>
  <si>
    <t>positive 1 is the correct crank rotation (CCW with well on the right)</t>
  </si>
  <si>
    <t>negative 1 is backwards.</t>
  </si>
  <si>
    <t>positive 1 is correct (CW with well on right),</t>
  </si>
  <si>
    <t xml:space="preserve">Load </t>
  </si>
  <si>
    <t>positive 1 is CW, negative 1 is CCW with horse head on the right</t>
  </si>
  <si>
    <t>%</t>
  </si>
  <si>
    <t>Generating</t>
  </si>
  <si>
    <t xml:space="preserve">Motoring </t>
  </si>
  <si>
    <t>CLF</t>
  </si>
  <si>
    <t>Net Torque</t>
  </si>
  <si>
    <t>sqrd</t>
  </si>
  <si>
    <t>hp-10% loss in PU and 10% loss in motor</t>
  </si>
  <si>
    <t>Work (in-lbf)</t>
  </si>
  <si>
    <t>Motoring</t>
  </si>
  <si>
    <t>Net Totque</t>
  </si>
  <si>
    <t>Squared</t>
  </si>
  <si>
    <t>Cut off generating portion-potential power savings</t>
  </si>
  <si>
    <t>Length from</t>
  </si>
  <si>
    <t>Equalizer</t>
  </si>
  <si>
    <t>Weight added</t>
  </si>
  <si>
    <t>to center</t>
  </si>
  <si>
    <t>to Beam (lbs)</t>
  </si>
  <si>
    <t>of wts (in)</t>
  </si>
  <si>
    <t>CBE (lbs)</t>
  </si>
  <si>
    <t>positive is clockwise, neg is counterCW with horse head on the right</t>
  </si>
  <si>
    <t>crank</t>
  </si>
  <si>
    <t>Beam CBE</t>
  </si>
  <si>
    <t>Combined</t>
  </si>
  <si>
    <t>in 1 cycle</t>
  </si>
  <si>
    <t>angle-deg</t>
  </si>
  <si>
    <t>CBE-Lbs</t>
  </si>
  <si>
    <t>CBE Torque</t>
  </si>
  <si>
    <t>w/beam wt</t>
  </si>
  <si>
    <t>TF</t>
  </si>
  <si>
    <t>s(a)-inch</t>
  </si>
  <si>
    <t>(cm)</t>
  </si>
  <si>
    <t>hp with 10% loss in PU and in motor.</t>
  </si>
  <si>
    <t>M320-2256-144</t>
  </si>
  <si>
    <t>A456-305-144</t>
  </si>
  <si>
    <t>RM320-256-144</t>
  </si>
  <si>
    <t>CW320-256-144</t>
  </si>
  <si>
    <t>Torque Factor</t>
  </si>
  <si>
    <t>Conventional</t>
  </si>
  <si>
    <t xml:space="preserve">Beam </t>
  </si>
  <si>
    <t>Net Gear Box Torque</t>
  </si>
  <si>
    <t>C320-305-85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</si>
</sst>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E+00"/>
    <numFmt numFmtId="168" formatCode="0.00000"/>
    <numFmt numFmtId="169" formatCode="#,##0.0"/>
    <numFmt numFmtId="170" formatCode="0.0E+00"/>
    <numFmt numFmtId="171" formatCode="0.0000000000000"/>
  </numFmts>
  <fonts count="56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.5"/>
      <color indexed="8"/>
      <name val="Arial"/>
      <family val="2"/>
    </font>
    <font>
      <sz val="10.25"/>
      <color indexed="8"/>
      <name val="Arial"/>
      <family val="2"/>
    </font>
    <font>
      <sz val="10.5"/>
      <color indexed="8"/>
      <name val="Arial"/>
      <family val="2"/>
    </font>
    <font>
      <sz val="9.6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sz val="12"/>
      <color indexed="8"/>
      <name val="Arial"/>
      <family val="2"/>
    </font>
    <font>
      <b/>
      <sz val="11.5"/>
      <color indexed="8"/>
      <name val="Arial"/>
      <family val="2"/>
    </font>
    <font>
      <sz val="10.55"/>
      <color indexed="8"/>
      <name val="Arial"/>
      <family val="2"/>
    </font>
    <font>
      <b/>
      <sz val="10.25"/>
      <color indexed="8"/>
      <name val="Arial"/>
      <family val="2"/>
    </font>
    <font>
      <b/>
      <sz val="10.5"/>
      <color indexed="8"/>
      <name val="Arial"/>
      <family val="2"/>
    </font>
    <font>
      <sz val="8.85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10" xfId="0" applyFill="1" applyBorder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6" borderId="10" xfId="0" applyFill="1" applyBorder="1" applyAlignment="1">
      <alignment/>
    </xf>
    <xf numFmtId="164" fontId="0" fillId="36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 quotePrefix="1">
      <alignment/>
    </xf>
    <xf numFmtId="169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164" fontId="0" fillId="0" borderId="0" xfId="55" applyNumberFormat="1">
      <alignment/>
      <protection/>
    </xf>
    <xf numFmtId="165" fontId="0" fillId="0" borderId="0" xfId="55" applyNumberFormat="1">
      <alignment/>
      <protection/>
    </xf>
    <xf numFmtId="0" fontId="0" fillId="0" borderId="10" xfId="55" applyBorder="1">
      <alignment/>
      <protection/>
    </xf>
    <xf numFmtId="164" fontId="0" fillId="0" borderId="10" xfId="55" applyNumberFormat="1" applyBorder="1">
      <alignment/>
      <protection/>
    </xf>
    <xf numFmtId="0" fontId="0" fillId="36" borderId="10" xfId="55" applyFill="1" applyBorder="1">
      <alignment/>
      <protection/>
    </xf>
    <xf numFmtId="0" fontId="0" fillId="0" borderId="10" xfId="55" applyFont="1" applyBorder="1">
      <alignment/>
      <protection/>
    </xf>
    <xf numFmtId="3" fontId="0" fillId="36" borderId="10" xfId="55" applyNumberFormat="1" applyFill="1" applyBorder="1">
      <alignment/>
      <protection/>
    </xf>
    <xf numFmtId="2" fontId="0" fillId="0" borderId="0" xfId="55" applyNumberFormat="1">
      <alignment/>
      <protection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6" borderId="11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Polished Rod Motion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Conventional Unit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365"/>
          <c:w val="0.7652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Position (unitless)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Conventional!$A$15:$A$87</c:f>
              <c:numCache/>
            </c:numRef>
          </c:xVal>
          <c:yVal>
            <c:numRef>
              <c:f>Conventional!$C$15:$C$87</c:f>
              <c:numCache/>
            </c:numRef>
          </c:yVal>
          <c:smooth val="0"/>
        </c:ser>
        <c:ser>
          <c:idx val="1"/>
          <c:order val="1"/>
          <c:tx>
            <c:v>Velocity (ft/sec)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Conventional!$A$15:$A$87</c:f>
              <c:numCache/>
            </c:numRef>
          </c:xVal>
          <c:yVal>
            <c:numRef>
              <c:f>Conventional!$K$15:$K$87</c:f>
              <c:numCache/>
            </c:numRef>
          </c:yVal>
          <c:smooth val="0"/>
        </c:ser>
        <c:ser>
          <c:idx val="2"/>
          <c:order val="2"/>
          <c:tx>
            <c:v>Acceleration (ft/sec^2)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Conventional!$A$15:$A$87</c:f>
              <c:numCache/>
            </c:numRef>
          </c:xVal>
          <c:yVal>
            <c:numRef>
              <c:f>Conventional!$L$15:$L$87</c:f>
              <c:numCache/>
            </c:numRef>
          </c:yVal>
          <c:smooth val="0"/>
        </c:ser>
        <c:axId val="19650479"/>
        <c:axId val="363272"/>
      </c:scatterChart>
      <c:valAx>
        <c:axId val="19650479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Crank Angle (degrees)</a:t>
                </a:r>
              </a:p>
            </c:rich>
          </c:tx>
          <c:layout>
            <c:manualLayout>
              <c:xMode val="factor"/>
              <c:yMode val="factor"/>
              <c:x val="0.06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272"/>
        <c:crosses val="autoZero"/>
        <c:crossBetween val="midCat"/>
        <c:dispUnits/>
        <c:majorUnit val="90"/>
      </c:valAx>
      <c:valAx>
        <c:axId val="363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504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41475"/>
          <c:w val="0.2185"/>
          <c:h val="0.3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Polished Rod Motion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Reverse Mark Unit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5"/>
          <c:w val="0.723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Position (unitless)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RM!$A$15:$A$87</c:f>
              <c:numCache/>
            </c:numRef>
          </c:xVal>
          <c:yVal>
            <c:numRef>
              <c:f>RM!$B$15:$B$87</c:f>
              <c:numCache/>
            </c:numRef>
          </c:yVal>
          <c:smooth val="0"/>
        </c:ser>
        <c:ser>
          <c:idx val="1"/>
          <c:order val="1"/>
          <c:tx>
            <c:v>Velocity (ft/sec)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RM!$A$15:$A$87</c:f>
              <c:numCache/>
            </c:numRef>
          </c:xVal>
          <c:yVal>
            <c:numRef>
              <c:f>RM!$J$15:$J$87</c:f>
              <c:numCache/>
            </c:numRef>
          </c:yVal>
          <c:smooth val="0"/>
        </c:ser>
        <c:ser>
          <c:idx val="2"/>
          <c:order val="2"/>
          <c:tx>
            <c:v>Acceleration (ft/sec^2)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RM!$A$15:$A$87</c:f>
              <c:numCache/>
            </c:numRef>
          </c:xVal>
          <c:yVal>
            <c:numRef>
              <c:f>RM!$K$15:$K$87</c:f>
              <c:numCache/>
            </c:numRef>
          </c:yVal>
          <c:smooth val="0"/>
        </c:ser>
        <c:axId val="31297433"/>
        <c:axId val="8126338"/>
      </c:scatterChart>
      <c:valAx>
        <c:axId val="31297433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Crank Angle (degrees)</a:t>
                </a:r>
              </a:p>
            </c:rich>
          </c:tx>
          <c:layout>
            <c:manualLayout>
              <c:xMode val="factor"/>
              <c:yMode val="factor"/>
              <c:x val="0.01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26338"/>
        <c:crosses val="autoZero"/>
        <c:crossBetween val="midCat"/>
        <c:dispUnits/>
        <c:majorUnit val="90"/>
      </c:valAx>
      <c:valAx>
        <c:axId val="8126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974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41525"/>
          <c:w val="0.224"/>
          <c:h val="0.3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Gear Box Torque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9675"/>
          <c:w val="0.87025"/>
          <c:h val="0.666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RM!$A$15:$A$87</c:f>
              <c:numCache/>
            </c:numRef>
          </c:xVal>
          <c:yVal>
            <c:numRef>
              <c:f>RM!$P$15:$P$87</c:f>
              <c:numCache/>
            </c:numRef>
          </c:yVal>
          <c:smooth val="0"/>
        </c:ser>
        <c:axId val="64744403"/>
        <c:axId val="37274828"/>
      </c:scatterChart>
      <c:valAx>
        <c:axId val="64744403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Crank Angle (deg)</a:t>
                </a:r>
              </a:p>
            </c:rich>
          </c:tx>
          <c:layout>
            <c:manualLayout>
              <c:xMode val="factor"/>
              <c:yMode val="factor"/>
              <c:x val="0.01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74828"/>
        <c:crosses val="autoZero"/>
        <c:crossBetween val="midCat"/>
        <c:dispUnits/>
      </c:valAx>
      <c:valAx>
        <c:axId val="37274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(in-lbf)</a:t>
                </a:r>
              </a:p>
            </c:rich>
          </c:tx>
          <c:layout>
            <c:manualLayout>
              <c:xMode val="factor"/>
              <c:yMode val="factor"/>
              <c:x val="-0.03425"/>
              <c:y val="0.0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444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Polished Rod Dynamometer Card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7475"/>
          <c:w val="0.65525"/>
          <c:h val="0.859"/>
        </c:manualLayout>
      </c:layout>
      <c:scatterChart>
        <c:scatterStyle val="lineMarker"/>
        <c:varyColors val="0"/>
        <c:ser>
          <c:idx val="0"/>
          <c:order val="0"/>
          <c:tx>
            <c:v>PR Load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RM!$B$15:$B$87</c:f>
              <c:numCache/>
            </c:numRef>
          </c:xVal>
          <c:yVal>
            <c:numRef>
              <c:f>RM!$M$15:$M$87</c:f>
              <c:numCache/>
            </c:numRef>
          </c:yVal>
          <c:smooth val="0"/>
        </c:ser>
        <c:ser>
          <c:idx val="1"/>
          <c:order val="1"/>
          <c:tx>
            <c:v>Permissible Load</c:v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RM!$B$15:$B$87</c:f>
              <c:numCache/>
            </c:numRef>
          </c:xVal>
          <c:yVal>
            <c:numRef>
              <c:f>RM!$Q$15:$Q$87</c:f>
              <c:numCache/>
            </c:numRef>
          </c:yVal>
          <c:smooth val="0"/>
        </c:ser>
        <c:axId val="51872941"/>
        <c:axId val="46415798"/>
      </c:scatterChart>
      <c:valAx>
        <c:axId val="5187294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Dimensionless Polished Rod Position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415798"/>
        <c:crosses val="autoZero"/>
        <c:crossBetween val="midCat"/>
        <c:dispUnits/>
        <c:majorUnit val="0.2"/>
      </c:valAx>
      <c:valAx>
        <c:axId val="46415798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Polished Rod Load (lbf)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872941"/>
        <c:crosses val="autoZero"/>
        <c:crossBetween val="midCat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75"/>
          <c:y val="0.47725"/>
          <c:w val="0.2625"/>
          <c:h val="0.1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Beam Balanced Unit</a:t>
            </a:r>
          </a:p>
        </c:rich>
      </c:tx>
      <c:layout>
        <c:manualLayout>
          <c:xMode val="factor"/>
          <c:yMode val="factor"/>
          <c:x val="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7475"/>
          <c:w val="0.64725"/>
          <c:h val="0.70425"/>
        </c:manualLayout>
      </c:layout>
      <c:scatterChart>
        <c:scatterStyle val="lineMarker"/>
        <c:varyColors val="0"/>
        <c:ser>
          <c:idx val="0"/>
          <c:order val="0"/>
          <c:tx>
            <c:v>PR Position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'Beam Balanced'!$S$15:$S$87</c:f>
              <c:numCache/>
            </c:numRef>
          </c:xVal>
          <c:yVal>
            <c:numRef>
              <c:f>'Beam Balanced'!$C$15:$C$87</c:f>
              <c:numCache/>
            </c:numRef>
          </c:yVal>
          <c:smooth val="0"/>
        </c:ser>
        <c:ser>
          <c:idx val="1"/>
          <c:order val="1"/>
          <c:tx>
            <c:v>Velocity-ft/sec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'Beam Balanced'!$S$15:$S$86</c:f>
              <c:numCache/>
            </c:numRef>
          </c:xVal>
          <c:yVal>
            <c:numRef>
              <c:f>'Beam Balanced'!$K$15:$K$86</c:f>
              <c:numCache/>
            </c:numRef>
          </c:yVal>
          <c:smooth val="0"/>
        </c:ser>
        <c:ser>
          <c:idx val="2"/>
          <c:order val="2"/>
          <c:tx>
            <c:v>Acceleration-ft/sec^2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'Beam Balanced'!$S$15:$S$86</c:f>
              <c:numCache/>
            </c:numRef>
          </c:xVal>
          <c:yVal>
            <c:numRef>
              <c:f>'Beam Balanced'!$L$15:$L$86</c:f>
              <c:numCache/>
            </c:numRef>
          </c:yVal>
          <c:smooth val="0"/>
        </c:ser>
        <c:axId val="23999527"/>
        <c:axId val="44456512"/>
      </c:scatterChart>
      <c:valAx>
        <c:axId val="23999527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Crank Angle (degrees)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6512"/>
        <c:crosses val="autoZero"/>
        <c:crossBetween val="midCat"/>
        <c:dispUnits/>
        <c:majorUnit val="90"/>
      </c:valAx>
      <c:valAx>
        <c:axId val="44456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995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75"/>
          <c:y val="0.413"/>
          <c:w val="0.30575"/>
          <c:h val="0.2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Gear Box Torque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09525"/>
          <c:w val="0.9275"/>
          <c:h val="0.839"/>
        </c:manualLayout>
      </c:layout>
      <c:scatterChart>
        <c:scatterStyle val="line"/>
        <c:varyColors val="0"/>
        <c:ser>
          <c:idx val="1"/>
          <c:order val="0"/>
          <c:tx>
            <c:v>Crank &amp; Beam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'Beam Balanced'!$A$15:$A$87</c:f>
              <c:numCache/>
            </c:numRef>
          </c:xVal>
          <c:yVal>
            <c:numRef>
              <c:f>'Beam Balanced'!$W$15:$W$87</c:f>
              <c:numCache/>
            </c:numRef>
          </c:yVal>
          <c:smooth val="0"/>
        </c:ser>
        <c:axId val="10777665"/>
        <c:axId val="39231082"/>
      </c:scatterChart>
      <c:valAx>
        <c:axId val="10777665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Crank Angle (deg)</a:t>
                </a:r>
              </a:p>
            </c:rich>
          </c:tx>
          <c:layout>
            <c:manualLayout>
              <c:xMode val="factor"/>
              <c:yMode val="factor"/>
              <c:x val="0.01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231082"/>
        <c:crosses val="autoZero"/>
        <c:crossBetween val="midCat"/>
        <c:dispUnits/>
        <c:majorUnit val="45"/>
      </c:valAx>
      <c:valAx>
        <c:axId val="3923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Gear Box Torque (in-lbs)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7776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Dynamometer Card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75"/>
          <c:y val="0.1935"/>
          <c:w val="0.8915"/>
          <c:h val="0.59675"/>
        </c:manualLayout>
      </c:layout>
      <c:scatterChart>
        <c:scatterStyle val="lineMarker"/>
        <c:varyColors val="0"/>
        <c:ser>
          <c:idx val="0"/>
          <c:order val="0"/>
          <c:tx>
            <c:v>PR Load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'Beam Balanced'!$C$15:$C$87</c:f>
              <c:numCache/>
            </c:numRef>
          </c:xVal>
          <c:yVal>
            <c:numRef>
              <c:f>'Beam Balanced'!$N$15:$N$87</c:f>
              <c:numCache/>
            </c:numRef>
          </c:yVal>
          <c:smooth val="0"/>
        </c:ser>
        <c:ser>
          <c:idx val="1"/>
          <c:order val="1"/>
          <c:tx>
            <c:v>Permissible Beam Load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'Beam Balanced'!$C$15:$C$87</c:f>
              <c:numCache/>
            </c:numRef>
          </c:xVal>
          <c:yVal>
            <c:numRef>
              <c:f>'Beam Balanced'!$X$15:$X$87</c:f>
              <c:numCache/>
            </c:numRef>
          </c:yVal>
          <c:smooth val="0"/>
        </c:ser>
        <c:axId val="64970491"/>
        <c:axId val="46544436"/>
      </c:scatterChart>
      <c:valAx>
        <c:axId val="6497049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Polished Rod Position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44436"/>
        <c:crosses val="autoZero"/>
        <c:crossBetween val="midCat"/>
        <c:dispUnits/>
      </c:valAx>
      <c:valAx>
        <c:axId val="46544436"/>
        <c:scaling>
          <c:orientation val="minMax"/>
          <c:max val="2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Polishe Rod Load (lbs)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04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Polished Rod Position</a:t>
            </a:r>
          </a:p>
        </c:rich>
      </c:tx>
      <c:layout>
        <c:manualLayout>
          <c:xMode val="factor"/>
          <c:yMode val="factor"/>
          <c:x val="-0.008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9675"/>
          <c:w val="0.65075"/>
          <c:h val="0.66675"/>
        </c:manualLayout>
      </c:layout>
      <c:scatterChart>
        <c:scatterStyle val="lineMarker"/>
        <c:varyColors val="0"/>
        <c:ser>
          <c:idx val="0"/>
          <c:order val="0"/>
          <c:tx>
            <c:v>Conventional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compare!$A$5:$A$77</c:f>
              <c:numCache/>
            </c:numRef>
          </c:xVal>
          <c:yVal>
            <c:numRef>
              <c:f>compare!$B$5:$B$77</c:f>
              <c:numCache/>
            </c:numRef>
          </c:yVal>
          <c:smooth val="0"/>
        </c:ser>
        <c:ser>
          <c:idx val="1"/>
          <c:order val="1"/>
          <c:tx>
            <c:v>Mark II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compare!$A$5:$A$77</c:f>
              <c:numCache/>
            </c:numRef>
          </c:xVal>
          <c:yVal>
            <c:numRef>
              <c:f>compare!$C$5:$C$77</c:f>
              <c:numCache/>
            </c:numRef>
          </c:yVal>
          <c:smooth val="0"/>
        </c:ser>
        <c:ser>
          <c:idx val="2"/>
          <c:order val="2"/>
          <c:tx>
            <c:v>Air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compare!$A$5:$A$77</c:f>
              <c:numCache/>
            </c:numRef>
          </c:xVal>
          <c:yVal>
            <c:numRef>
              <c:f>compare!$D$5:$D$77</c:f>
              <c:numCache/>
            </c:numRef>
          </c:yVal>
          <c:smooth val="0"/>
        </c:ser>
        <c:ser>
          <c:idx val="3"/>
          <c:order val="3"/>
          <c:tx>
            <c:v>Reverse Mark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compare!$A$5:$A$77</c:f>
              <c:numCache/>
            </c:numRef>
          </c:xVal>
          <c:yVal>
            <c:numRef>
              <c:f>compare!$E$5:$E$77</c:f>
              <c:numCache/>
            </c:numRef>
          </c:yVal>
          <c:smooth val="0"/>
        </c:ser>
        <c:ser>
          <c:idx val="4"/>
          <c:order val="4"/>
          <c:tx>
            <c:v>Beam Balanced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compare!$A$5:$A$77</c:f>
              <c:numCache/>
            </c:numRef>
          </c:xVal>
          <c:yVal>
            <c:numRef>
              <c:f>compare!$F$5:$F$77</c:f>
              <c:numCache/>
            </c:numRef>
          </c:yVal>
          <c:smooth val="0"/>
        </c:ser>
        <c:axId val="29273685"/>
        <c:axId val="59370398"/>
      </c:scatterChart>
      <c:valAx>
        <c:axId val="29273685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Crank Angle (deg)</a:t>
                </a:r>
              </a:p>
            </c:rich>
          </c:tx>
          <c:layout>
            <c:manualLayout>
              <c:xMode val="factor"/>
              <c:yMode val="factor"/>
              <c:x val="-0.01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70398"/>
        <c:crosses val="autoZero"/>
        <c:crossBetween val="midCat"/>
        <c:dispUnits/>
        <c:majorUnit val="45"/>
      </c:valAx>
      <c:valAx>
        <c:axId val="59370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 Position (inches)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736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32125"/>
          <c:w val="0.26175"/>
          <c:h val="0.4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Polished Rod Velocity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9675"/>
          <c:w val="0.65075"/>
          <c:h val="0.66675"/>
        </c:manualLayout>
      </c:layout>
      <c:scatterChart>
        <c:scatterStyle val="lineMarker"/>
        <c:varyColors val="0"/>
        <c:ser>
          <c:idx val="4"/>
          <c:order val="0"/>
          <c:tx>
            <c:v>Conventional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compare!$A$5:$A$77</c:f>
              <c:numCache/>
            </c:numRef>
          </c:xVal>
          <c:yVal>
            <c:numRef>
              <c:f>compare!$G$5:$G$77</c:f>
              <c:numCache/>
            </c:numRef>
          </c:yVal>
          <c:smooth val="0"/>
        </c:ser>
        <c:ser>
          <c:idx val="5"/>
          <c:order val="1"/>
          <c:tx>
            <c:v>Mark II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compare!$A$5:$A$77</c:f>
              <c:numCache/>
            </c:numRef>
          </c:xVal>
          <c:yVal>
            <c:numRef>
              <c:f>compare!$H$5:$H$77</c:f>
              <c:numCache/>
            </c:numRef>
          </c:yVal>
          <c:smooth val="0"/>
        </c:ser>
        <c:ser>
          <c:idx val="6"/>
          <c:order val="2"/>
          <c:tx>
            <c:v>Air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compare!$A$5:$A$77</c:f>
              <c:numCache/>
            </c:numRef>
          </c:xVal>
          <c:yVal>
            <c:numRef>
              <c:f>compare!$I$5:$I$77</c:f>
              <c:numCache/>
            </c:numRef>
          </c:yVal>
          <c:smooth val="0"/>
        </c:ser>
        <c:ser>
          <c:idx val="7"/>
          <c:order val="3"/>
          <c:tx>
            <c:v>Reverse Mark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compare!$A$5:$A$77</c:f>
              <c:numCache/>
            </c:numRef>
          </c:xVal>
          <c:yVal>
            <c:numRef>
              <c:f>compare!$J$5:$J$77</c:f>
              <c:numCache/>
            </c:numRef>
          </c:yVal>
          <c:smooth val="0"/>
        </c:ser>
        <c:ser>
          <c:idx val="0"/>
          <c:order val="4"/>
          <c:tx>
            <c:v>Beam Balanced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compare!$A$5:$A$77</c:f>
              <c:numCache/>
            </c:numRef>
          </c:xVal>
          <c:yVal>
            <c:numRef>
              <c:f>compare!$K$5:$K$77</c:f>
              <c:numCache/>
            </c:numRef>
          </c:yVal>
          <c:smooth val="0"/>
        </c:ser>
        <c:axId val="18267215"/>
        <c:axId val="10758312"/>
      </c:scatterChart>
      <c:valAx>
        <c:axId val="18267215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Crank Angle (deg)</a:t>
                </a:r>
              </a:p>
            </c:rich>
          </c:tx>
          <c:layout>
            <c:manualLayout>
              <c:xMode val="factor"/>
              <c:yMode val="factor"/>
              <c:x val="0.01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8312"/>
        <c:crosses val="autoZero"/>
        <c:crossBetween val="midCat"/>
        <c:dispUnits/>
        <c:majorUnit val="45"/>
      </c:valAx>
      <c:valAx>
        <c:axId val="10758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 Velocity (ft/sec)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672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3615"/>
          <c:w val="0.26175"/>
          <c:h val="0.4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Polished Rod Acceleration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9675"/>
          <c:w val="0.61525"/>
          <c:h val="0.66675"/>
        </c:manualLayout>
      </c:layout>
      <c:scatterChart>
        <c:scatterStyle val="lineMarker"/>
        <c:varyColors val="0"/>
        <c:ser>
          <c:idx val="8"/>
          <c:order val="0"/>
          <c:tx>
            <c:v>Conventional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compare!$A$5:$A$77</c:f>
              <c:numCache/>
            </c:numRef>
          </c:xVal>
          <c:yVal>
            <c:numRef>
              <c:f>compare!$L$5:$L$77</c:f>
              <c:numCache/>
            </c:numRef>
          </c:yVal>
          <c:smooth val="0"/>
        </c:ser>
        <c:ser>
          <c:idx val="9"/>
          <c:order val="1"/>
          <c:tx>
            <c:v>Mark II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compare!$A$5:$A$77</c:f>
              <c:numCache/>
            </c:numRef>
          </c:xVal>
          <c:yVal>
            <c:numRef>
              <c:f>compare!$M$5:$M$77</c:f>
              <c:numCache/>
            </c:numRef>
          </c:yVal>
          <c:smooth val="0"/>
        </c:ser>
        <c:ser>
          <c:idx val="10"/>
          <c:order val="2"/>
          <c:tx>
            <c:v>Air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compare!$A$5:$A$77</c:f>
              <c:numCache/>
            </c:numRef>
          </c:xVal>
          <c:yVal>
            <c:numRef>
              <c:f>compare!$N$5:$N$77</c:f>
              <c:numCache/>
            </c:numRef>
          </c:yVal>
          <c:smooth val="0"/>
        </c:ser>
        <c:ser>
          <c:idx val="11"/>
          <c:order val="3"/>
          <c:tx>
            <c:v>Reverse Mark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compare!$A$5:$A$77</c:f>
              <c:numCache/>
            </c:numRef>
          </c:xVal>
          <c:yVal>
            <c:numRef>
              <c:f>compare!$O$5:$O$77</c:f>
              <c:numCache/>
            </c:numRef>
          </c:yVal>
          <c:smooth val="0"/>
        </c:ser>
        <c:ser>
          <c:idx val="0"/>
          <c:order val="4"/>
          <c:tx>
            <c:v>Beam Balanced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compare!$A$5:$A$77</c:f>
              <c:numCache/>
            </c:numRef>
          </c:xVal>
          <c:yVal>
            <c:numRef>
              <c:f>compare!$P$5:$P$77</c:f>
              <c:numCache/>
            </c:numRef>
          </c:yVal>
          <c:smooth val="0"/>
        </c:ser>
        <c:axId val="38437609"/>
        <c:axId val="32438098"/>
      </c:scatterChart>
      <c:valAx>
        <c:axId val="38437609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Crank Angle (deg)</a:t>
                </a:r>
              </a:p>
            </c:rich>
          </c:tx>
          <c:layout>
            <c:manualLayout>
              <c:xMode val="factor"/>
              <c:yMode val="factor"/>
              <c:x val="0.01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38098"/>
        <c:crosses val="autoZero"/>
        <c:crossBetween val="midCat"/>
        <c:dispUnits/>
        <c:majorUnit val="45"/>
      </c:valAx>
      <c:valAx>
        <c:axId val="32438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 Acceleration (ft/sec^2)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376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3615"/>
          <c:w val="0.26175"/>
          <c:h val="0.4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Polished Rod Position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25"/>
          <c:w val="0.6635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v>Conventional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compare!$B$5:$B$77</c:f>
              <c:numCache/>
            </c:numRef>
          </c:xVal>
          <c:yVal>
            <c:numRef>
              <c:f>compare!$A$5:$A$77</c:f>
              <c:numCache/>
            </c:numRef>
          </c:yVal>
          <c:smooth val="0"/>
        </c:ser>
        <c:ser>
          <c:idx val="1"/>
          <c:order val="1"/>
          <c:tx>
            <c:v>Mark II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compare!$C$5:$C$77</c:f>
              <c:numCache/>
            </c:numRef>
          </c:xVal>
          <c:yVal>
            <c:numRef>
              <c:f>compare!$A$5:$A$77</c:f>
              <c:numCache/>
            </c:numRef>
          </c:yVal>
          <c:smooth val="0"/>
        </c:ser>
        <c:ser>
          <c:idx val="2"/>
          <c:order val="2"/>
          <c:tx>
            <c:v>RM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compare!$E$5:$E$77</c:f>
              <c:numCache/>
            </c:numRef>
          </c:xVal>
          <c:yVal>
            <c:numRef>
              <c:f>compare!$A$5:$A$77</c:f>
              <c:numCache/>
            </c:numRef>
          </c:yVal>
          <c:smooth val="0"/>
        </c:ser>
        <c:ser>
          <c:idx val="3"/>
          <c:order val="3"/>
          <c:tx>
            <c:v>Air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compare!$D$5:$D$77</c:f>
              <c:numCache/>
            </c:numRef>
          </c:xVal>
          <c:yVal>
            <c:numRef>
              <c:f>compare!$A$5:$A$77</c:f>
              <c:numCache/>
            </c:numRef>
          </c:yVal>
          <c:smooth val="0"/>
        </c:ser>
        <c:ser>
          <c:idx val="4"/>
          <c:order val="4"/>
          <c:tx>
            <c:v>CW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compare!$F$5:$F$77</c:f>
              <c:numCache/>
            </c:numRef>
          </c:xVal>
          <c:yVal>
            <c:numRef>
              <c:f>compare!$A$5:$A$77</c:f>
              <c:numCache/>
            </c:numRef>
          </c:yVal>
          <c:smooth val="0"/>
        </c:ser>
        <c:axId val="54893603"/>
        <c:axId val="36045212"/>
      </c:scatterChart>
      <c:valAx>
        <c:axId val="54893603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Polished Rod Position (%)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5212"/>
        <c:crosses val="autoZero"/>
        <c:crossBetween val="midCat"/>
        <c:dispUnits/>
        <c:majorUnit val="20"/>
      </c:valAx>
      <c:valAx>
        <c:axId val="36045212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Crank Angle (deg)</a:t>
                </a:r>
              </a:p>
            </c:rich>
          </c:tx>
          <c:layout>
            <c:manualLayout>
              <c:xMode val="factor"/>
              <c:yMode val="factor"/>
              <c:x val="-0.018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93603"/>
        <c:crosses val="autoZero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43775"/>
          <c:w val="0.15775"/>
          <c:h val="0.1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Gear Box Torque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1135"/>
          <c:w val="0.91525"/>
          <c:h val="0.788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Conventional!$A$15:$A$87</c:f>
              <c:numCache/>
            </c:numRef>
          </c:xVal>
          <c:yVal>
            <c:numRef>
              <c:f>Conventional!$Q$15:$Q$87</c:f>
              <c:numCache/>
            </c:numRef>
          </c:yVal>
          <c:smooth val="0"/>
        </c:ser>
        <c:axId val="14894153"/>
        <c:axId val="6680498"/>
      </c:scatterChart>
      <c:valAx>
        <c:axId val="14894153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Crank Angle (deg)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80498"/>
        <c:crossesAt val="-100000"/>
        <c:crossBetween val="midCat"/>
        <c:dispUnits/>
        <c:majorUnit val="45"/>
      </c:valAx>
      <c:valAx>
        <c:axId val="6680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(in-lbf)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8941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Torque Factor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7125"/>
          <c:h val="0.7815"/>
        </c:manualLayout>
      </c:layout>
      <c:scatterChart>
        <c:scatterStyle val="smoothMarker"/>
        <c:varyColors val="0"/>
        <c:ser>
          <c:idx val="0"/>
          <c:order val="0"/>
          <c:tx>
            <c:v>Conventional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compare!$A$5:$A$77</c:f>
              <c:numCache/>
            </c:numRef>
          </c:xVal>
          <c:yVal>
            <c:numRef>
              <c:f>compare!$Q$5:$Q$77</c:f>
              <c:numCache/>
            </c:numRef>
          </c:yVal>
          <c:smooth val="1"/>
        </c:ser>
        <c:ser>
          <c:idx val="1"/>
          <c:order val="1"/>
          <c:tx>
            <c:v>Mark II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compare!$A$5:$A$77</c:f>
              <c:numCache/>
            </c:numRef>
          </c:xVal>
          <c:yVal>
            <c:numRef>
              <c:f>compare!$S$5:$S$77</c:f>
              <c:numCache/>
            </c:numRef>
          </c:yVal>
          <c:smooth val="1"/>
        </c:ser>
        <c:ser>
          <c:idx val="2"/>
          <c:order val="2"/>
          <c:tx>
            <c:v>Beam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compare!$A$5:$A$77</c:f>
              <c:numCache/>
            </c:numRef>
          </c:xVal>
          <c:yVal>
            <c:numRef>
              <c:f>compare!$R$5:$R$77</c:f>
              <c:numCache/>
            </c:numRef>
          </c:yVal>
          <c:smooth val="1"/>
        </c:ser>
        <c:axId val="1458685"/>
        <c:axId val="59806086"/>
      </c:scatterChart>
      <c:valAx>
        <c:axId val="1458685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Crank Angle (deg)</a:t>
                </a:r>
              </a:p>
            </c:rich>
          </c:tx>
          <c:layout>
            <c:manualLayout>
              <c:xMode val="factor"/>
              <c:yMode val="factor"/>
              <c:x val="0.02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06086"/>
        <c:crosses val="autoZero"/>
        <c:crossBetween val="midCat"/>
        <c:dispUnits/>
        <c:majorUnit val="45"/>
      </c:valAx>
      <c:valAx>
        <c:axId val="59806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Torque Factor (in)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586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448"/>
          <c:w val="0.2272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Net Gear Box Torque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43"/>
          <c:w val="0.67325"/>
          <c:h val="0.7815"/>
        </c:manualLayout>
      </c:layout>
      <c:scatterChart>
        <c:scatterStyle val="smoothMarker"/>
        <c:varyColors val="0"/>
        <c:ser>
          <c:idx val="0"/>
          <c:order val="0"/>
          <c:tx>
            <c:v>Conventional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compare!$A$5:$A$77</c:f>
              <c:numCache/>
            </c:numRef>
          </c:xVal>
          <c:yVal>
            <c:numRef>
              <c:f>compare!$T$5:$T$77</c:f>
              <c:numCache/>
            </c:numRef>
          </c:yVal>
          <c:smooth val="1"/>
        </c:ser>
        <c:ser>
          <c:idx val="1"/>
          <c:order val="1"/>
          <c:tx>
            <c:v>Mark II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compare!$A$5:$A$77</c:f>
              <c:numCache/>
            </c:numRef>
          </c:xVal>
          <c:yVal>
            <c:numRef>
              <c:f>compare!$V$5:$V$77</c:f>
              <c:numCache/>
            </c:numRef>
          </c:yVal>
          <c:smooth val="1"/>
        </c:ser>
        <c:ser>
          <c:idx val="2"/>
          <c:order val="2"/>
          <c:tx>
            <c:v>Beam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compare!$A$5:$A$77</c:f>
              <c:numCache/>
            </c:numRef>
          </c:xVal>
          <c:yVal>
            <c:numRef>
              <c:f>compare!$U$5:$U$77</c:f>
              <c:numCache/>
            </c:numRef>
          </c:yVal>
          <c:smooth val="1"/>
        </c:ser>
        <c:axId val="36130423"/>
        <c:axId val="4952336"/>
      </c:scatterChart>
      <c:valAx>
        <c:axId val="36130423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Crank Angle (deg)</a:t>
                </a:r>
              </a:p>
            </c:rich>
          </c:tx>
          <c:layout>
            <c:manualLayout>
              <c:xMode val="factor"/>
              <c:yMode val="factor"/>
              <c:x val="0.02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2336"/>
        <c:crosses val="autoZero"/>
        <c:crossBetween val="midCat"/>
        <c:dispUnits/>
        <c:majorUnit val="45"/>
      </c:valAx>
      <c:valAx>
        <c:axId val="4952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Net Torque (in-lbf)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304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448"/>
          <c:w val="0.2272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Polished Rod Dynamometer Card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6275"/>
          <c:w val="0.65225"/>
          <c:h val="0.883"/>
        </c:manualLayout>
      </c:layout>
      <c:scatterChart>
        <c:scatterStyle val="lineMarker"/>
        <c:varyColors val="0"/>
        <c:ser>
          <c:idx val="0"/>
          <c:order val="0"/>
          <c:tx>
            <c:v>PR Load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Conventional!$C$15:$C$87</c:f>
              <c:numCache/>
            </c:numRef>
          </c:xVal>
          <c:yVal>
            <c:numRef>
              <c:f>Conventional!$N$15:$N$87</c:f>
              <c:numCache/>
            </c:numRef>
          </c:yVal>
          <c:smooth val="0"/>
        </c:ser>
        <c:ser>
          <c:idx val="1"/>
          <c:order val="1"/>
          <c:tx>
            <c:v>Permissible Load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Conventional!$C$15:$C$87</c:f>
              <c:numCache/>
            </c:numRef>
          </c:xVal>
          <c:yVal>
            <c:numRef>
              <c:f>Conventional!$R$15:$R$87</c:f>
              <c:numCache/>
            </c:numRef>
          </c:yVal>
          <c:smooth val="0"/>
        </c:ser>
        <c:axId val="5464963"/>
        <c:axId val="22736892"/>
      </c:scatterChart>
      <c:valAx>
        <c:axId val="546496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Dimensionless Polished Rod Position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736892"/>
        <c:crosses val="autoZero"/>
        <c:crossBetween val="midCat"/>
        <c:dispUnits/>
      </c:valAx>
      <c:valAx>
        <c:axId val="22736892"/>
        <c:scaling>
          <c:orientation val="minMax"/>
          <c:max val="300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Polished Rod Load (lbf)</a:t>
                </a:r>
              </a:p>
            </c:rich>
          </c:tx>
          <c:layout>
            <c:manualLayout>
              <c:xMode val="factor"/>
              <c:yMode val="factor"/>
              <c:x val="-0.02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64963"/>
        <c:crosses val="autoZero"/>
        <c:crossBetween val="midCat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"/>
          <c:y val="0.48375"/>
          <c:w val="0.258"/>
          <c:h val="0.0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Polished Rod Motion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 II Unit</a:t>
            </a:r>
          </a:p>
        </c:rich>
      </c:tx>
      <c:layout>
        <c:manualLayout>
          <c:xMode val="factor"/>
          <c:yMode val="factor"/>
          <c:x val="0.06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805"/>
          <c:w val="0.777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Position (unitless)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'Mark II'!$A$15:$A$87</c:f>
              <c:numCache/>
            </c:numRef>
          </c:xVal>
          <c:yVal>
            <c:numRef>
              <c:f>'Mark II'!$B$15:$B$87</c:f>
              <c:numCache/>
            </c:numRef>
          </c:yVal>
          <c:smooth val="0"/>
        </c:ser>
        <c:ser>
          <c:idx val="1"/>
          <c:order val="1"/>
          <c:tx>
            <c:v>Velocity (ft/sec)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'Mark II'!$A$15:$A$87</c:f>
              <c:numCache/>
            </c:numRef>
          </c:xVal>
          <c:yVal>
            <c:numRef>
              <c:f>'Mark II'!$J$15:$J$87</c:f>
              <c:numCache/>
            </c:numRef>
          </c:yVal>
          <c:smooth val="0"/>
        </c:ser>
        <c:ser>
          <c:idx val="2"/>
          <c:order val="2"/>
          <c:tx>
            <c:v>Acceleration (ft/sec^2)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'Mark II'!$A$15:$A$87</c:f>
              <c:numCache/>
            </c:numRef>
          </c:xVal>
          <c:yVal>
            <c:numRef>
              <c:f>'Mark II'!$K$15:$K$87</c:f>
              <c:numCache/>
            </c:numRef>
          </c:yVal>
          <c:smooth val="0"/>
        </c:ser>
        <c:axId val="59797341"/>
        <c:axId val="35771878"/>
      </c:scatterChart>
      <c:valAx>
        <c:axId val="59797341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Crank Angle (degrees)</a:t>
                </a:r>
              </a:p>
            </c:rich>
          </c:tx>
          <c:layout>
            <c:manualLayout>
              <c:xMode val="factor"/>
              <c:yMode val="factor"/>
              <c:x val="0.01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71878"/>
        <c:crosses val="autoZero"/>
        <c:crossBetween val="midCat"/>
        <c:dispUnits/>
        <c:majorUnit val="90"/>
      </c:valAx>
      <c:valAx>
        <c:axId val="35771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973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.41525"/>
          <c:w val="0.18125"/>
          <c:h val="0.3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Gear Box Torque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0475"/>
          <c:w val="0.90925"/>
          <c:h val="0.82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'Mark II'!$A$15:$A$87</c:f>
              <c:numCache/>
            </c:numRef>
          </c:xVal>
          <c:yVal>
            <c:numRef>
              <c:f>'Mark II'!$P$15:$P$87</c:f>
              <c:numCache/>
            </c:numRef>
          </c:yVal>
          <c:smooth val="0"/>
        </c:ser>
        <c:axId val="57360855"/>
        <c:axId val="2984816"/>
      </c:scatterChart>
      <c:valAx>
        <c:axId val="57360855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Crank Angle (degrees)</a:t>
                </a:r>
              </a:p>
            </c:rich>
          </c:tx>
          <c:layout>
            <c:manualLayout>
              <c:xMode val="factor"/>
              <c:yMode val="factor"/>
              <c:x val="0.02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84816"/>
        <c:crosses val="autoZero"/>
        <c:crossBetween val="midCat"/>
        <c:dispUnits/>
        <c:majorUnit val="45"/>
      </c:valAx>
      <c:valAx>
        <c:axId val="2984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(in-lbf)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3608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Polished Rod Dynamometer Card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97"/>
          <c:w val="0.646"/>
          <c:h val="0.80825"/>
        </c:manualLayout>
      </c:layout>
      <c:scatterChart>
        <c:scatterStyle val="lineMarker"/>
        <c:varyColors val="0"/>
        <c:ser>
          <c:idx val="0"/>
          <c:order val="0"/>
          <c:tx>
            <c:v>PR Load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'Mark II'!$B$15:$B$87</c:f>
              <c:numCache/>
            </c:numRef>
          </c:xVal>
          <c:yVal>
            <c:numRef>
              <c:f>'Mark II'!$M$15:$M$87</c:f>
              <c:numCache/>
            </c:numRef>
          </c:yVal>
          <c:smooth val="0"/>
        </c:ser>
        <c:ser>
          <c:idx val="1"/>
          <c:order val="1"/>
          <c:tx>
            <c:v>Permissible Load</c:v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'Mark II'!$B$15:$B$87</c:f>
              <c:numCache/>
            </c:numRef>
          </c:xVal>
          <c:yVal>
            <c:numRef>
              <c:f>'Mark II'!$Q$15:$Q$87</c:f>
              <c:numCache/>
            </c:numRef>
          </c:yVal>
          <c:smooth val="0"/>
        </c:ser>
        <c:axId val="55268593"/>
        <c:axId val="51419802"/>
      </c:scatterChart>
      <c:valAx>
        <c:axId val="5526859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Dimensionless Polished Rod Position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419802"/>
        <c:crosses val="autoZero"/>
        <c:crossBetween val="midCat"/>
        <c:dispUnits/>
      </c:valAx>
      <c:valAx>
        <c:axId val="51419802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Polished Rod Load (lbf)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268593"/>
        <c:crosses val="autoZero"/>
        <c:crossBetween val="midCat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5"/>
          <c:y val="0.46725"/>
          <c:w val="0.26375"/>
          <c:h val="0.1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Polished Rod Motion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Balanced Unit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5"/>
          <c:w val="0.723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Position (unitless)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'Air Balanced'!$A$15:$A$87</c:f>
              <c:numCache/>
            </c:numRef>
          </c:xVal>
          <c:yVal>
            <c:numRef>
              <c:f>'Air Balanced'!$B$15:$B$87</c:f>
              <c:numCache/>
            </c:numRef>
          </c:yVal>
          <c:smooth val="0"/>
        </c:ser>
        <c:ser>
          <c:idx val="1"/>
          <c:order val="1"/>
          <c:tx>
            <c:v>Velocity (ft/sec)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'Air Balanced'!$A$15:$A$87</c:f>
              <c:numCache/>
            </c:numRef>
          </c:xVal>
          <c:yVal>
            <c:numRef>
              <c:f>'Air Balanced'!$J$15:$J$87</c:f>
              <c:numCache/>
            </c:numRef>
          </c:yVal>
          <c:smooth val="0"/>
        </c:ser>
        <c:ser>
          <c:idx val="2"/>
          <c:order val="2"/>
          <c:tx>
            <c:v>Acceleration (ft/sec^2)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'Air Balanced'!$A$15:$A$87</c:f>
              <c:numCache/>
            </c:numRef>
          </c:xVal>
          <c:yVal>
            <c:numRef>
              <c:f>'Air Balanced'!$K$15:$K$87</c:f>
              <c:numCache/>
            </c:numRef>
          </c:yVal>
          <c:smooth val="0"/>
        </c:ser>
        <c:axId val="27837099"/>
        <c:axId val="470372"/>
      </c:scatterChart>
      <c:valAx>
        <c:axId val="27837099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Crank Angle (degrees)</a:t>
                </a:r>
              </a:p>
            </c:rich>
          </c:tx>
          <c:layout>
            <c:manualLayout>
              <c:xMode val="factor"/>
              <c:yMode val="factor"/>
              <c:x val="0.01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72"/>
        <c:crosses val="autoZero"/>
        <c:crossBetween val="midCat"/>
        <c:dispUnits/>
        <c:majorUnit val="90"/>
      </c:valAx>
      <c:valAx>
        <c:axId val="470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370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41525"/>
          <c:w val="0.224"/>
          <c:h val="0.3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Gear Box Torque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5"/>
          <c:y val="0.19375"/>
          <c:w val="0.86975"/>
          <c:h val="0.66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'Air Balanced'!$A$15:$A$87</c:f>
              <c:numCache/>
            </c:numRef>
          </c:xVal>
          <c:yVal>
            <c:numRef>
              <c:f>'Air Balanced'!$P$15:$P$87</c:f>
              <c:numCache/>
            </c:numRef>
          </c:yVal>
          <c:smooth val="0"/>
        </c:ser>
        <c:axId val="19285253"/>
        <c:axId val="52497870"/>
      </c:scatterChart>
      <c:valAx>
        <c:axId val="19285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Crank Angle (deg)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97870"/>
        <c:crosses val="autoZero"/>
        <c:crossBetween val="midCat"/>
        <c:dispUnits/>
      </c:valAx>
      <c:valAx>
        <c:axId val="52497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(in-lbf)</a:t>
                </a:r>
              </a:p>
            </c:rich>
          </c:tx>
          <c:layout>
            <c:manualLayout>
              <c:xMode val="factor"/>
              <c:yMode val="factor"/>
              <c:x val="-0.041"/>
              <c:y val="0.0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852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Polished Rod Dynamometer Card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275"/>
          <c:w val="0.668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v>PR Load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'Air Balanced'!$B$15:$B$87</c:f>
              <c:numCache/>
            </c:numRef>
          </c:xVal>
          <c:yVal>
            <c:numRef>
              <c:f>'Air Balanced'!$M$15:$M$87</c:f>
              <c:numCache/>
            </c:numRef>
          </c:yVal>
          <c:smooth val="0"/>
        </c:ser>
        <c:ser>
          <c:idx val="1"/>
          <c:order val="1"/>
          <c:tx>
            <c:v>Permissible Load</c:v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'Air Balanced'!$B$15:$B$87</c:f>
              <c:numCache/>
            </c:numRef>
          </c:xVal>
          <c:yVal>
            <c:numRef>
              <c:f>'Air Balanced'!$Q$15:$Q$87</c:f>
              <c:numCache/>
            </c:numRef>
          </c:yVal>
          <c:smooth val="0"/>
        </c:ser>
        <c:axId val="4929023"/>
        <c:axId val="763352"/>
      </c:scatterChart>
      <c:valAx>
        <c:axId val="492902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Dimensionless Polished Rod Position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63352"/>
        <c:crosses val="autoZero"/>
        <c:crossBetween val="midCat"/>
        <c:dispUnits/>
      </c:valAx>
      <c:valAx>
        <c:axId val="763352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Polished Rod Load (lbf)</a:t>
                </a:r>
              </a:p>
            </c:rich>
          </c:tx>
          <c:layout>
            <c:manualLayout>
              <c:xMode val="factor"/>
              <c:yMode val="factor"/>
              <c:x val="-0.03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29023"/>
        <c:crosses val="autoZero"/>
        <c:crossBetween val="midCat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48125"/>
          <c:w val="0.24525"/>
          <c:h val="0.1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314325</xdr:colOff>
      <xdr:row>1</xdr:row>
      <xdr:rowOff>85725</xdr:rowOff>
    </xdr:from>
    <xdr:to>
      <xdr:col>40</xdr:col>
      <xdr:colOff>447675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21717000" y="247650"/>
        <a:ext cx="50101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600075</xdr:colOff>
      <xdr:row>34</xdr:row>
      <xdr:rowOff>85725</xdr:rowOff>
    </xdr:from>
    <xdr:to>
      <xdr:col>31</xdr:col>
      <xdr:colOff>57150</xdr:colOff>
      <xdr:row>50</xdr:row>
      <xdr:rowOff>19050</xdr:rowOff>
    </xdr:to>
    <xdr:graphicFrame>
      <xdr:nvGraphicFramePr>
        <xdr:cNvPr id="2" name="Chart 3"/>
        <xdr:cNvGraphicFramePr/>
      </xdr:nvGraphicFramePr>
      <xdr:xfrm>
        <a:off x="15849600" y="5591175"/>
        <a:ext cx="5000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571500</xdr:colOff>
      <xdr:row>5</xdr:row>
      <xdr:rowOff>142875</xdr:rowOff>
    </xdr:from>
    <xdr:to>
      <xdr:col>31</xdr:col>
      <xdr:colOff>428625</xdr:colOff>
      <xdr:row>33</xdr:row>
      <xdr:rowOff>104775</xdr:rowOff>
    </xdr:to>
    <xdr:graphicFrame>
      <xdr:nvGraphicFramePr>
        <xdr:cNvPr id="3" name="Chart 4"/>
        <xdr:cNvGraphicFramePr/>
      </xdr:nvGraphicFramePr>
      <xdr:xfrm>
        <a:off x="15821025" y="952500"/>
        <a:ext cx="5400675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419100</xdr:colOff>
      <xdr:row>1</xdr:row>
      <xdr:rowOff>9525</xdr:rowOff>
    </xdr:from>
    <xdr:to>
      <xdr:col>39</xdr:col>
      <xdr:colOff>85725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18830925" y="171450"/>
        <a:ext cx="57626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333375</xdr:colOff>
      <xdr:row>1</xdr:row>
      <xdr:rowOff>57150</xdr:rowOff>
    </xdr:from>
    <xdr:to>
      <xdr:col>29</xdr:col>
      <xdr:colOff>133350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13868400" y="21907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9525</xdr:colOff>
      <xdr:row>20</xdr:row>
      <xdr:rowOff>0</xdr:rowOff>
    </xdr:from>
    <xdr:to>
      <xdr:col>32</xdr:col>
      <xdr:colOff>276225</xdr:colOff>
      <xdr:row>37</xdr:row>
      <xdr:rowOff>85725</xdr:rowOff>
    </xdr:to>
    <xdr:graphicFrame>
      <xdr:nvGraphicFramePr>
        <xdr:cNvPr id="3" name="Chart 5"/>
        <xdr:cNvGraphicFramePr/>
      </xdr:nvGraphicFramePr>
      <xdr:xfrm>
        <a:off x="14763750" y="3238500"/>
        <a:ext cx="57531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581025</xdr:colOff>
      <xdr:row>0</xdr:row>
      <xdr:rowOff>66675</xdr:rowOff>
    </xdr:from>
    <xdr:to>
      <xdr:col>39</xdr:col>
      <xdr:colOff>381000</xdr:colOff>
      <xdr:row>17</xdr:row>
      <xdr:rowOff>38100</xdr:rowOff>
    </xdr:to>
    <xdr:graphicFrame>
      <xdr:nvGraphicFramePr>
        <xdr:cNvPr id="1" name="Chart 2"/>
        <xdr:cNvGraphicFramePr/>
      </xdr:nvGraphicFramePr>
      <xdr:xfrm>
        <a:off x="20345400" y="66675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314325</xdr:colOff>
      <xdr:row>19</xdr:row>
      <xdr:rowOff>38100</xdr:rowOff>
    </xdr:from>
    <xdr:to>
      <xdr:col>39</xdr:col>
      <xdr:colOff>133350</xdr:colOff>
      <xdr:row>34</xdr:row>
      <xdr:rowOff>104775</xdr:rowOff>
    </xdr:to>
    <xdr:graphicFrame>
      <xdr:nvGraphicFramePr>
        <xdr:cNvPr id="2" name="Chart 3"/>
        <xdr:cNvGraphicFramePr/>
      </xdr:nvGraphicFramePr>
      <xdr:xfrm>
        <a:off x="20078700" y="3114675"/>
        <a:ext cx="46958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114300</xdr:colOff>
      <xdr:row>0</xdr:row>
      <xdr:rowOff>104775</xdr:rowOff>
    </xdr:from>
    <xdr:to>
      <xdr:col>31</xdr:col>
      <xdr:colOff>304800</xdr:colOff>
      <xdr:row>24</xdr:row>
      <xdr:rowOff>104775</xdr:rowOff>
    </xdr:to>
    <xdr:graphicFrame>
      <xdr:nvGraphicFramePr>
        <xdr:cNvPr id="3" name="Chart 4"/>
        <xdr:cNvGraphicFramePr/>
      </xdr:nvGraphicFramePr>
      <xdr:xfrm>
        <a:off x="14392275" y="104775"/>
        <a:ext cx="567690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219075</xdr:colOff>
      <xdr:row>2</xdr:row>
      <xdr:rowOff>0</xdr:rowOff>
    </xdr:from>
    <xdr:to>
      <xdr:col>38</xdr:col>
      <xdr:colOff>19050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19307175" y="323850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20</xdr:row>
      <xdr:rowOff>66675</xdr:rowOff>
    </xdr:from>
    <xdr:to>
      <xdr:col>37</xdr:col>
      <xdr:colOff>295275</xdr:colOff>
      <xdr:row>35</xdr:row>
      <xdr:rowOff>95250</xdr:rowOff>
    </xdr:to>
    <xdr:graphicFrame>
      <xdr:nvGraphicFramePr>
        <xdr:cNvPr id="2" name="Chart 2"/>
        <xdr:cNvGraphicFramePr/>
      </xdr:nvGraphicFramePr>
      <xdr:xfrm>
        <a:off x="19088100" y="3305175"/>
        <a:ext cx="45624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533400</xdr:colOff>
      <xdr:row>1</xdr:row>
      <xdr:rowOff>38100</xdr:rowOff>
    </xdr:from>
    <xdr:to>
      <xdr:col>31</xdr:col>
      <xdr:colOff>504825</xdr:colOff>
      <xdr:row>23</xdr:row>
      <xdr:rowOff>133350</xdr:rowOff>
    </xdr:to>
    <xdr:graphicFrame>
      <xdr:nvGraphicFramePr>
        <xdr:cNvPr id="3" name="Chart 3"/>
        <xdr:cNvGraphicFramePr/>
      </xdr:nvGraphicFramePr>
      <xdr:xfrm>
        <a:off x="14744700" y="200025"/>
        <a:ext cx="545782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304800</xdr:colOff>
      <xdr:row>2</xdr:row>
      <xdr:rowOff>0</xdr:rowOff>
    </xdr:from>
    <xdr:to>
      <xdr:col>37</xdr:col>
      <xdr:colOff>104775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19135725" y="323850"/>
        <a:ext cx="52863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152400</xdr:colOff>
      <xdr:row>20</xdr:row>
      <xdr:rowOff>0</xdr:rowOff>
    </xdr:from>
    <xdr:to>
      <xdr:col>37</xdr:col>
      <xdr:colOff>514350</xdr:colOff>
      <xdr:row>38</xdr:row>
      <xdr:rowOff>76200</xdr:rowOff>
    </xdr:to>
    <xdr:graphicFrame>
      <xdr:nvGraphicFramePr>
        <xdr:cNvPr id="2" name="Chart 3"/>
        <xdr:cNvGraphicFramePr/>
      </xdr:nvGraphicFramePr>
      <xdr:xfrm>
        <a:off x="18983325" y="3238500"/>
        <a:ext cx="58483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276225</xdr:colOff>
      <xdr:row>39</xdr:row>
      <xdr:rowOff>0</xdr:rowOff>
    </xdr:from>
    <xdr:to>
      <xdr:col>34</xdr:col>
      <xdr:colOff>28575</xdr:colOff>
      <xdr:row>54</xdr:row>
      <xdr:rowOff>95250</xdr:rowOff>
    </xdr:to>
    <xdr:graphicFrame>
      <xdr:nvGraphicFramePr>
        <xdr:cNvPr id="3" name="Chart 4"/>
        <xdr:cNvGraphicFramePr/>
      </xdr:nvGraphicFramePr>
      <xdr:xfrm>
        <a:off x="16935450" y="6315075"/>
        <a:ext cx="558165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219075</xdr:colOff>
      <xdr:row>1</xdr:row>
      <xdr:rowOff>28575</xdr:rowOff>
    </xdr:from>
    <xdr:to>
      <xdr:col>30</xdr:col>
      <xdr:colOff>514350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14706600" y="190500"/>
        <a:ext cx="45624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228600</xdr:colOff>
      <xdr:row>16</xdr:row>
      <xdr:rowOff>133350</xdr:rowOff>
    </xdr:from>
    <xdr:to>
      <xdr:col>30</xdr:col>
      <xdr:colOff>523875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14716125" y="2724150"/>
        <a:ext cx="45624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285750</xdr:colOff>
      <xdr:row>32</xdr:row>
      <xdr:rowOff>152400</xdr:rowOff>
    </xdr:from>
    <xdr:to>
      <xdr:col>30</xdr:col>
      <xdr:colOff>581025</xdr:colOff>
      <xdr:row>48</xdr:row>
      <xdr:rowOff>19050</xdr:rowOff>
    </xdr:to>
    <xdr:graphicFrame>
      <xdr:nvGraphicFramePr>
        <xdr:cNvPr id="3" name="Chart 3"/>
        <xdr:cNvGraphicFramePr/>
      </xdr:nvGraphicFramePr>
      <xdr:xfrm>
        <a:off x="14773275" y="5334000"/>
        <a:ext cx="456247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31</xdr:col>
      <xdr:colOff>114300</xdr:colOff>
      <xdr:row>5</xdr:row>
      <xdr:rowOff>76200</xdr:rowOff>
    </xdr:from>
    <xdr:to>
      <xdr:col>39</xdr:col>
      <xdr:colOff>333375</xdr:colOff>
      <xdr:row>31</xdr:row>
      <xdr:rowOff>85725</xdr:rowOff>
    </xdr:to>
    <xdr:graphicFrame>
      <xdr:nvGraphicFramePr>
        <xdr:cNvPr id="4" name="Chart 4"/>
        <xdr:cNvGraphicFramePr/>
      </xdr:nvGraphicFramePr>
      <xdr:xfrm>
        <a:off x="19478625" y="885825"/>
        <a:ext cx="5095875" cy="4219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295275</xdr:colOff>
      <xdr:row>49</xdr:row>
      <xdr:rowOff>28575</xdr:rowOff>
    </xdr:from>
    <xdr:to>
      <xdr:col>30</xdr:col>
      <xdr:colOff>600075</xdr:colOff>
      <xdr:row>66</xdr:row>
      <xdr:rowOff>19050</xdr:rowOff>
    </xdr:to>
    <xdr:graphicFrame>
      <xdr:nvGraphicFramePr>
        <xdr:cNvPr id="5" name="Chart 2"/>
        <xdr:cNvGraphicFramePr/>
      </xdr:nvGraphicFramePr>
      <xdr:xfrm>
        <a:off x="14782800" y="79629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295275</xdr:colOff>
      <xdr:row>67</xdr:row>
      <xdr:rowOff>19050</xdr:rowOff>
    </xdr:from>
    <xdr:to>
      <xdr:col>30</xdr:col>
      <xdr:colOff>600075</xdr:colOff>
      <xdr:row>84</xdr:row>
      <xdr:rowOff>9525</xdr:rowOff>
    </xdr:to>
    <xdr:graphicFrame>
      <xdr:nvGraphicFramePr>
        <xdr:cNvPr id="6" name="Chart 3"/>
        <xdr:cNvGraphicFramePr/>
      </xdr:nvGraphicFramePr>
      <xdr:xfrm>
        <a:off x="14782800" y="1086802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PageLayoutView="0" workbookViewId="0" topLeftCell="V1">
      <selection activeCell="C8" sqref="C8"/>
    </sheetView>
  </sheetViews>
  <sheetFormatPr defaultColWidth="9.140625" defaultRowHeight="12.75"/>
  <cols>
    <col min="3" max="3" width="12.421875" style="0" bestFit="1" customWidth="1"/>
    <col min="5" max="5" width="9.28125" style="0" customWidth="1"/>
    <col min="10" max="10" width="11.28125" style="0" customWidth="1"/>
    <col min="12" max="12" width="12.421875" style="0" bestFit="1" customWidth="1"/>
    <col min="15" max="15" width="11.00390625" style="0" customWidth="1"/>
    <col min="16" max="16" width="12.421875" style="0" bestFit="1" customWidth="1"/>
    <col min="17" max="17" width="12.28125" style="0" bestFit="1" customWidth="1"/>
    <col min="18" max="18" width="11.00390625" style="0" customWidth="1"/>
    <col min="19" max="19" width="9.57421875" style="0" bestFit="1" customWidth="1"/>
    <col min="20" max="20" width="12.140625" style="0" customWidth="1"/>
    <col min="21" max="21" width="12.57421875" style="0" customWidth="1"/>
    <col min="22" max="22" width="10.8515625" style="0" customWidth="1"/>
    <col min="27" max="27" width="10.00390625" style="0" bestFit="1" customWidth="1"/>
  </cols>
  <sheetData>
    <row r="1" spans="1:8" ht="12.75">
      <c r="A1" t="s">
        <v>22</v>
      </c>
      <c r="E1" s="41" t="s">
        <v>72</v>
      </c>
      <c r="F1" s="42"/>
      <c r="G1" s="42"/>
      <c r="H1" s="43"/>
    </row>
    <row r="2" spans="1:7" ht="12.75">
      <c r="A2" t="s">
        <v>0</v>
      </c>
      <c r="E2" s="7" t="s">
        <v>23</v>
      </c>
      <c r="F2" s="44" t="s">
        <v>141</v>
      </c>
      <c r="G2" s="43"/>
    </row>
    <row r="3" spans="1:7" ht="12.75">
      <c r="A3" t="s">
        <v>1</v>
      </c>
      <c r="C3" s="8">
        <v>129</v>
      </c>
      <c r="D3" t="s">
        <v>7</v>
      </c>
      <c r="E3" s="7" t="s">
        <v>34</v>
      </c>
      <c r="F3" s="8">
        <v>320000</v>
      </c>
      <c r="G3" s="7" t="s">
        <v>71</v>
      </c>
    </row>
    <row r="4" spans="1:7" ht="12.75">
      <c r="A4" t="s">
        <v>2</v>
      </c>
      <c r="C4" s="8">
        <v>132</v>
      </c>
      <c r="D4" t="s">
        <v>7</v>
      </c>
      <c r="E4" s="10" t="s">
        <v>92</v>
      </c>
      <c r="F4" s="11">
        <v>30500</v>
      </c>
      <c r="G4" s="10" t="s">
        <v>93</v>
      </c>
    </row>
    <row r="5" spans="1:4" ht="12.75">
      <c r="A5" t="s">
        <v>3</v>
      </c>
      <c r="C5" s="8">
        <v>111.07</v>
      </c>
      <c r="D5" t="s">
        <v>7</v>
      </c>
    </row>
    <row r="6" spans="1:5" ht="12.75">
      <c r="A6" t="s">
        <v>4</v>
      </c>
      <c r="C6" s="8">
        <v>111</v>
      </c>
      <c r="D6" t="s">
        <v>7</v>
      </c>
      <c r="E6" t="s">
        <v>25</v>
      </c>
    </row>
    <row r="7" spans="1:15" ht="12.75">
      <c r="A7" t="s">
        <v>5</v>
      </c>
      <c r="C7" s="8">
        <v>175.5477</v>
      </c>
      <c r="D7" t="s">
        <v>7</v>
      </c>
      <c r="F7" s="6"/>
      <c r="G7" s="6"/>
      <c r="H7" s="6"/>
      <c r="L7" t="s">
        <v>31</v>
      </c>
      <c r="M7" s="8">
        <v>16150</v>
      </c>
      <c r="N7" t="s">
        <v>37</v>
      </c>
      <c r="O7" s="7" t="s">
        <v>81</v>
      </c>
    </row>
    <row r="8" spans="1:16" ht="12.75">
      <c r="A8" t="s">
        <v>6</v>
      </c>
      <c r="C8" s="8">
        <v>36</v>
      </c>
      <c r="D8" t="s">
        <v>7</v>
      </c>
      <c r="L8" t="s">
        <v>38</v>
      </c>
      <c r="M8" s="1">
        <f>D33</f>
        <v>41.018071317100926</v>
      </c>
      <c r="N8" t="s">
        <v>39</v>
      </c>
      <c r="O8">
        <f>A33</f>
        <v>90</v>
      </c>
      <c r="P8" t="s">
        <v>43</v>
      </c>
    </row>
    <row r="9" spans="1:14" ht="12.75">
      <c r="A9" t="s">
        <v>63</v>
      </c>
      <c r="C9" s="8">
        <v>1</v>
      </c>
      <c r="D9" s="10" t="s">
        <v>100</v>
      </c>
      <c r="L9" t="s">
        <v>40</v>
      </c>
      <c r="M9" s="8">
        <v>-400</v>
      </c>
      <c r="N9" t="s">
        <v>37</v>
      </c>
    </row>
    <row r="10" spans="1:14" ht="12.75">
      <c r="A10" t="s">
        <v>8</v>
      </c>
      <c r="C10">
        <f>ASIN($C$6/C7)</f>
        <v>0.6845271732149086</v>
      </c>
      <c r="L10" t="s">
        <v>41</v>
      </c>
      <c r="M10">
        <f>ABS(D33*(M7-M9))</f>
        <v>678849.0802980203</v>
      </c>
      <c r="N10" t="s">
        <v>33</v>
      </c>
    </row>
    <row r="11" spans="1:6" ht="12.75">
      <c r="A11" t="s">
        <v>9</v>
      </c>
      <c r="C11">
        <f>ACOS((C5^2+C7^2-(C4+C8)^2)/(2*C5*C7))</f>
        <v>1.1779208970907609</v>
      </c>
      <c r="D11" t="s">
        <v>66</v>
      </c>
      <c r="E11" s="8">
        <v>6</v>
      </c>
      <c r="F11" t="s">
        <v>67</v>
      </c>
    </row>
    <row r="12" spans="1:22" ht="12.75">
      <c r="A12" t="s">
        <v>10</v>
      </c>
      <c r="C12">
        <f>ACOS((C5^2+C7^2-(C4-C8)^2)/(2*C5*C7))</f>
        <v>0.5150280963891227</v>
      </c>
      <c r="J12" s="45" t="s">
        <v>82</v>
      </c>
      <c r="K12" s="46"/>
      <c r="L12" s="47"/>
      <c r="N12" s="7" t="s">
        <v>13</v>
      </c>
      <c r="O12" s="7" t="s">
        <v>29</v>
      </c>
      <c r="P12" t="s">
        <v>31</v>
      </c>
      <c r="Q12" t="s">
        <v>34</v>
      </c>
      <c r="R12" s="7" t="s">
        <v>83</v>
      </c>
      <c r="S12" s="7" t="s">
        <v>77</v>
      </c>
      <c r="T12" s="10" t="s">
        <v>102</v>
      </c>
      <c r="U12" s="10" t="s">
        <v>103</v>
      </c>
      <c r="V12" s="10" t="s">
        <v>105</v>
      </c>
    </row>
    <row r="13" spans="1:22" ht="12.75">
      <c r="A13" t="s">
        <v>11</v>
      </c>
      <c r="C13" s="7" t="s">
        <v>73</v>
      </c>
      <c r="D13" s="7" t="s">
        <v>32</v>
      </c>
      <c r="J13" t="s">
        <v>18</v>
      </c>
      <c r="K13" t="s">
        <v>19</v>
      </c>
      <c r="L13" t="s">
        <v>21</v>
      </c>
      <c r="N13" s="7" t="s">
        <v>76</v>
      </c>
      <c r="O13" t="s">
        <v>32</v>
      </c>
      <c r="P13" t="s">
        <v>32</v>
      </c>
      <c r="Q13" t="s">
        <v>32</v>
      </c>
      <c r="R13" s="7" t="s">
        <v>84</v>
      </c>
      <c r="S13" s="7" t="s">
        <v>78</v>
      </c>
      <c r="T13" s="10" t="s">
        <v>108</v>
      </c>
      <c r="U13" s="10" t="s">
        <v>108</v>
      </c>
      <c r="V13" s="10" t="s">
        <v>106</v>
      </c>
    </row>
    <row r="14" spans="1:21" ht="12.75">
      <c r="A14" t="s">
        <v>12</v>
      </c>
      <c r="B14" t="s">
        <v>42</v>
      </c>
      <c r="C14" s="7" t="s">
        <v>18</v>
      </c>
      <c r="D14" s="7" t="s">
        <v>74</v>
      </c>
      <c r="E14" t="s">
        <v>14</v>
      </c>
      <c r="F14" t="s">
        <v>15</v>
      </c>
      <c r="G14" t="s">
        <v>16</v>
      </c>
      <c r="H14" t="s">
        <v>17</v>
      </c>
      <c r="J14" s="7" t="s">
        <v>75</v>
      </c>
      <c r="K14" t="s">
        <v>20</v>
      </c>
      <c r="L14" t="s">
        <v>26</v>
      </c>
      <c r="N14" t="s">
        <v>44</v>
      </c>
      <c r="O14" t="s">
        <v>45</v>
      </c>
      <c r="P14" t="s">
        <v>45</v>
      </c>
      <c r="Q14" t="s">
        <v>45</v>
      </c>
      <c r="R14" s="7" t="s">
        <v>85</v>
      </c>
      <c r="S14" s="7" t="s">
        <v>79</v>
      </c>
      <c r="T14" s="10"/>
      <c r="U14" s="10"/>
    </row>
    <row r="15" spans="1:22" ht="12.75">
      <c r="A15">
        <f>IF(C9&gt;0,0,360)</f>
        <v>0</v>
      </c>
      <c r="B15">
        <f>A15*2*PI()/360</f>
        <v>0</v>
      </c>
      <c r="C15" s="1">
        <f>($C$11-G15)/($C$11-$C$12)</f>
        <v>0.00024334836944916365</v>
      </c>
      <c r="D15" s="1">
        <f>$C$9*$C$8*$C$3/$C$5*SIN(H15)/SIN(E15)</f>
        <v>-1.5113686743568417</v>
      </c>
      <c r="E15">
        <f>ACOS(($C$5^2+$C$4^2-$C$7^2-$C$8^2+2*$C$7*$C$8*COS(B15-$C$10))/(2*$C$5*$C$4))</f>
        <v>1.3142774801045491</v>
      </c>
      <c r="F15">
        <f>SQRT($C$8^2+$C$7^2-2*$C$8*$C$7*COS(B15-$C$10))</f>
        <v>149.40212952083508</v>
      </c>
      <c r="G15">
        <f aca="true" t="shared" si="0" ref="G15:G46">ACOS(($C$5^2+F15^2-$C$4^2)/(2*$C$5*F15))-ASIN($C$8*SIN(B15-$C$10)/F15)</f>
        <v>1.1777595832085905</v>
      </c>
      <c r="H15">
        <f aca="true" t="shared" si="1" ref="H15:H46">E15+G15-(B15-$C$10)</f>
        <v>3.176564236528048</v>
      </c>
      <c r="J15">
        <f>$C$3*($C$11-G15)</f>
        <v>0.020809490799972963</v>
      </c>
      <c r="K15">
        <f>(J15-J86)/10*$E$11</f>
        <v>-0.203108196135651</v>
      </c>
      <c r="L15" s="9">
        <f>(K15-K86)/(B16-B15)*$E$11*2*3.1415/60*$C$9</f>
        <v>1.7458308742973272</v>
      </c>
      <c r="N15" s="8">
        <v>13000</v>
      </c>
      <c r="O15">
        <f>D15*(N15-$M$9)</f>
        <v>-20252.34023638168</v>
      </c>
      <c r="P15">
        <f>$M$10*SIN(RADIANS(A15))*$C$9</f>
        <v>0</v>
      </c>
      <c r="Q15">
        <f>O15-P15</f>
        <v>-20252.34023638168</v>
      </c>
      <c r="R15" s="1">
        <f aca="true" t="shared" si="2" ref="R15:R79">IF(($F$3+P15)/D15+$M$9&lt;$F$4,($F$3+P15)/D15+$M$9,$F$4)</f>
        <v>-212128.61753018337</v>
      </c>
      <c r="T15">
        <f>IF(Q15&lt;0,(Q87+Q15)/2,0)</f>
        <v>-20252.340236381537</v>
      </c>
      <c r="U15">
        <f>IF(Q15&gt;=0,(Q87+Q15)/2,0)</f>
        <v>0</v>
      </c>
      <c r="V15">
        <f>Q15^2</f>
        <v>410157285.0501643</v>
      </c>
    </row>
    <row r="16" spans="1:22" ht="12.75">
      <c r="A16">
        <f>A15+$C$9*5</f>
        <v>5</v>
      </c>
      <c r="B16">
        <f aca="true" t="shared" si="3" ref="B16:B79">A16*2*PI()/360</f>
        <v>0.08726646259971647</v>
      </c>
      <c r="C16" s="1">
        <f aca="true" t="shared" si="4" ref="C16:C79">($C$11-G16)/($C$11-$C$12)</f>
        <v>0.0011555719242035002</v>
      </c>
      <c r="D16" s="1">
        <f aca="true" t="shared" si="5" ref="D16:D79">$C$9*$C$8*$C$3/$C$5*SIN(H16)/SIN(E16)</f>
        <v>3.3125420148813847</v>
      </c>
      <c r="E16">
        <f aca="true" t="shared" si="6" ref="E16:E79">ACOS(($C$5^2+$C$4^2-$C$7^2-$C$8^2+2*$C$7*$C$8*COS(B16-$C$10))/(2*$C$5*$C$4))</f>
        <v>1.2909594568295946</v>
      </c>
      <c r="F16">
        <f aca="true" t="shared" si="7" ref="F16:F79">SQRT($C$8^2+$C$7^2-2*$C$8*$C$7*COS(B16-$C$10))</f>
        <v>147.17917352854448</v>
      </c>
      <c r="G16">
        <f t="shared" si="0"/>
        <v>1.1771548767815134</v>
      </c>
      <c r="H16">
        <f t="shared" si="1"/>
        <v>3.0653750442263004</v>
      </c>
      <c r="J16">
        <f aca="true" t="shared" si="8" ref="J16:J79">$C$3*($C$11-G16)</f>
        <v>0.09881661989291968</v>
      </c>
      <c r="K16">
        <f>(J16-J15)/10*$E$11</f>
        <v>0.046804277455768026</v>
      </c>
      <c r="L16" s="9">
        <f>(K16-K15)/(B16-B15)*$E$11*2*3.1415/60*$C$9</f>
        <v>1.799316741847615</v>
      </c>
      <c r="N16" s="8">
        <v>12200</v>
      </c>
      <c r="O16">
        <f aca="true" t="shared" si="9" ref="O16:O79">D16*(N16-$M$9)</f>
        <v>41738.02938750545</v>
      </c>
      <c r="P16">
        <f aca="true" t="shared" si="10" ref="P16:P79">$M$10*SIN(RADIANS(A16))*$C$9</f>
        <v>59165.595806938596</v>
      </c>
      <c r="Q16">
        <f aca="true" t="shared" si="11" ref="Q16:Q79">O16-P16</f>
        <v>-17427.566419433148</v>
      </c>
      <c r="R16" s="1">
        <f t="shared" si="2"/>
        <v>30500</v>
      </c>
      <c r="S16">
        <f>(N16+N15)/2*(J16-J15)/12</f>
        <v>81.90748554759405</v>
      </c>
      <c r="T16">
        <f>IF(Q16&lt;0,(Q15+Q16)/2,0)</f>
        <v>-18839.953327907413</v>
      </c>
      <c r="U16">
        <f>IF(Q16&gt;=0,(Q15+Q16)/2,0)</f>
        <v>0</v>
      </c>
      <c r="V16">
        <f aca="true" t="shared" si="12" ref="V16:V79">Q16^2</f>
        <v>303720071.3037539</v>
      </c>
    </row>
    <row r="17" spans="1:22" ht="12.75">
      <c r="A17">
        <f aca="true" t="shared" si="13" ref="A17:A80">A16+$C$9*5</f>
        <v>10</v>
      </c>
      <c r="B17">
        <f t="shared" si="3"/>
        <v>0.17453292519943295</v>
      </c>
      <c r="C17" s="1">
        <f t="shared" si="4"/>
        <v>0.007019558586539266</v>
      </c>
      <c r="D17" s="1">
        <f t="shared" si="5"/>
        <v>8.181098181922307</v>
      </c>
      <c r="E17">
        <f t="shared" si="6"/>
        <v>1.2703251862973852</v>
      </c>
      <c r="F17">
        <f t="shared" si="7"/>
        <v>145.1962896624565</v>
      </c>
      <c r="G17">
        <f t="shared" si="0"/>
        <v>1.1732676822396406</v>
      </c>
      <c r="H17">
        <f t="shared" si="1"/>
        <v>2.9535871165525016</v>
      </c>
      <c r="J17">
        <f t="shared" si="8"/>
        <v>0.6002647157945118</v>
      </c>
      <c r="K17">
        <f aca="true" t="shared" si="14" ref="K17:K80">(J17-J16)/10*$E$11</f>
        <v>0.30086885754095527</v>
      </c>
      <c r="L17" s="9">
        <f aca="true" t="shared" si="15" ref="L17:L80">(K17-K16)/(B17-B16)*$E$11*2*3.1415/60*$C$9</f>
        <v>1.8292110269179376</v>
      </c>
      <c r="N17" s="8">
        <v>12200</v>
      </c>
      <c r="O17">
        <f t="shared" si="9"/>
        <v>103081.83709222107</v>
      </c>
      <c r="P17">
        <f t="shared" si="10"/>
        <v>117880.90570462288</v>
      </c>
      <c r="Q17">
        <f t="shared" si="11"/>
        <v>-14799.06861240181</v>
      </c>
      <c r="R17" s="1">
        <f t="shared" si="2"/>
        <v>30500</v>
      </c>
      <c r="S17">
        <f aca="true" t="shared" si="16" ref="S17:S80">(N17+N16)/2*(J17-J16)/12</f>
        <v>509.8055641666187</v>
      </c>
      <c r="T17">
        <f aca="true" t="shared" si="17" ref="T17:T80">IF(Q17&lt;0,(Q16+Q17)/2,0)</f>
        <v>-16113.317515917479</v>
      </c>
      <c r="U17">
        <f aca="true" t="shared" si="18" ref="U17:U80">IF(Q17&gt;=0,(Q16+Q17)/2,0)</f>
        <v>0</v>
      </c>
      <c r="V17">
        <f t="shared" si="12"/>
        <v>219012431.79457644</v>
      </c>
    </row>
    <row r="18" spans="1:22" ht="12.75">
      <c r="A18">
        <f t="shared" si="13"/>
        <v>15</v>
      </c>
      <c r="B18">
        <f t="shared" si="3"/>
        <v>0.2617993877991494</v>
      </c>
      <c r="C18" s="1">
        <f t="shared" si="4"/>
        <v>0.017842417702074523</v>
      </c>
      <c r="D18" s="1">
        <f t="shared" si="5"/>
        <v>13.01759715323694</v>
      </c>
      <c r="E18">
        <f t="shared" si="6"/>
        <v>1.2525740485257995</v>
      </c>
      <c r="F18">
        <f t="shared" si="7"/>
        <v>143.47880944779763</v>
      </c>
      <c r="G18">
        <f t="shared" si="0"/>
        <v>1.1660932868489442</v>
      </c>
      <c r="H18">
        <f t="shared" si="1"/>
        <v>2.841395120790503</v>
      </c>
      <c r="J18">
        <f t="shared" si="8"/>
        <v>1.52576172119435</v>
      </c>
      <c r="K18">
        <f t="shared" si="14"/>
        <v>0.555298203239903</v>
      </c>
      <c r="L18" s="9">
        <f t="shared" si="15"/>
        <v>1.8318372618803533</v>
      </c>
      <c r="N18" s="8">
        <v>12800</v>
      </c>
      <c r="O18">
        <f t="shared" si="9"/>
        <v>171832.2824227276</v>
      </c>
      <c r="P18">
        <f t="shared" si="10"/>
        <v>175699.07073145802</v>
      </c>
      <c r="Q18">
        <f t="shared" si="11"/>
        <v>-3866.788308730407</v>
      </c>
      <c r="R18" s="1">
        <f t="shared" si="2"/>
        <v>30500</v>
      </c>
      <c r="S18">
        <f t="shared" si="16"/>
        <v>964.0593806248313</v>
      </c>
      <c r="T18">
        <f t="shared" si="17"/>
        <v>-9332.928460566109</v>
      </c>
      <c r="U18">
        <f t="shared" si="18"/>
        <v>0</v>
      </c>
      <c r="V18">
        <f t="shared" si="12"/>
        <v>14952051.824534163</v>
      </c>
    </row>
    <row r="19" spans="1:22" ht="12.75">
      <c r="A19">
        <f t="shared" si="13"/>
        <v>20</v>
      </c>
      <c r="B19">
        <f t="shared" si="3"/>
        <v>0.3490658503988659</v>
      </c>
      <c r="C19" s="1">
        <f t="shared" si="4"/>
        <v>0.03354932489616528</v>
      </c>
      <c r="D19" s="1">
        <f t="shared" si="5"/>
        <v>17.738653147387392</v>
      </c>
      <c r="E19">
        <f t="shared" si="6"/>
        <v>1.23788579876075</v>
      </c>
      <c r="F19">
        <f t="shared" si="7"/>
        <v>142.04964307224768</v>
      </c>
      <c r="G19">
        <f t="shared" si="0"/>
        <v>1.1556812911486927</v>
      </c>
      <c r="H19">
        <f t="shared" si="1"/>
        <v>2.7290284127254854</v>
      </c>
      <c r="J19">
        <f t="shared" si="8"/>
        <v>2.868909166526797</v>
      </c>
      <c r="K19">
        <f t="shared" si="14"/>
        <v>0.8058884671994683</v>
      </c>
      <c r="L19" s="9">
        <f t="shared" si="15"/>
        <v>1.8041966885719327</v>
      </c>
      <c r="N19" s="8">
        <v>13400</v>
      </c>
      <c r="O19">
        <f t="shared" si="9"/>
        <v>244793.413433946</v>
      </c>
      <c r="P19">
        <f t="shared" si="10"/>
        <v>232180.0597400273</v>
      </c>
      <c r="Q19">
        <f t="shared" si="11"/>
        <v>12613.353693918703</v>
      </c>
      <c r="R19" s="1">
        <f t="shared" si="2"/>
        <v>30500</v>
      </c>
      <c r="S19">
        <f t="shared" si="16"/>
        <v>1466.2692944879216</v>
      </c>
      <c r="T19">
        <f t="shared" si="17"/>
        <v>0</v>
      </c>
      <c r="U19">
        <f t="shared" si="18"/>
        <v>4373.282692594148</v>
      </c>
      <c r="V19">
        <f t="shared" si="12"/>
        <v>159096691.40789258</v>
      </c>
    </row>
    <row r="20" spans="1:22" ht="12.75">
      <c r="A20">
        <f t="shared" si="13"/>
        <v>25</v>
      </c>
      <c r="B20">
        <f t="shared" si="3"/>
        <v>0.4363323129985824</v>
      </c>
      <c r="C20" s="1">
        <f t="shared" si="4"/>
        <v>0.05397837540457748</v>
      </c>
      <c r="D20" s="1">
        <f t="shared" si="5"/>
        <v>22.257650574207485</v>
      </c>
      <c r="E20">
        <f t="shared" si="6"/>
        <v>1.2264154206257383</v>
      </c>
      <c r="F20">
        <f t="shared" si="7"/>
        <v>140.92858184998738</v>
      </c>
      <c r="G20">
        <f t="shared" si="0"/>
        <v>1.142139020641496</v>
      </c>
      <c r="H20">
        <f t="shared" si="1"/>
        <v>2.6167493014835608</v>
      </c>
      <c r="J20">
        <f t="shared" si="8"/>
        <v>4.615862061955157</v>
      </c>
      <c r="K20">
        <f t="shared" si="14"/>
        <v>1.0481717372570163</v>
      </c>
      <c r="L20" s="9">
        <f t="shared" si="15"/>
        <v>1.7443880964375424</v>
      </c>
      <c r="N20" s="8">
        <v>14000</v>
      </c>
      <c r="O20">
        <f t="shared" si="9"/>
        <v>320510.1682685878</v>
      </c>
      <c r="P20">
        <f t="shared" si="10"/>
        <v>286894.0182998218</v>
      </c>
      <c r="Q20">
        <f t="shared" si="11"/>
        <v>33616.14996876597</v>
      </c>
      <c r="R20" s="1">
        <f t="shared" si="2"/>
        <v>26866.760086668808</v>
      </c>
      <c r="S20">
        <f t="shared" si="16"/>
        <v>1994.437888947378</v>
      </c>
      <c r="T20">
        <f t="shared" si="17"/>
        <v>0</v>
      </c>
      <c r="U20">
        <f t="shared" si="18"/>
        <v>23114.751831342335</v>
      </c>
      <c r="V20">
        <f t="shared" si="12"/>
        <v>1130045538.7225642</v>
      </c>
    </row>
    <row r="21" spans="1:22" ht="12.75">
      <c r="A21">
        <f t="shared" si="13"/>
        <v>30</v>
      </c>
      <c r="B21">
        <f t="shared" si="3"/>
        <v>0.5235987755982988</v>
      </c>
      <c r="C21" s="1">
        <f t="shared" si="4"/>
        <v>0.07887945103285919</v>
      </c>
      <c r="D21" s="1">
        <f t="shared" si="5"/>
        <v>26.489108727889285</v>
      </c>
      <c r="E21">
        <f t="shared" si="6"/>
        <v>1.2182881480789565</v>
      </c>
      <c r="F21">
        <f t="shared" si="7"/>
        <v>140.13163587608443</v>
      </c>
      <c r="G21">
        <f t="shared" si="0"/>
        <v>1.1256322768777811</v>
      </c>
      <c r="H21">
        <f t="shared" si="1"/>
        <v>2.504848822573347</v>
      </c>
      <c r="J21">
        <f t="shared" si="8"/>
        <v>6.745232007474388</v>
      </c>
      <c r="K21">
        <f t="shared" si="14"/>
        <v>1.2776219673115383</v>
      </c>
      <c r="L21" s="9">
        <f t="shared" si="15"/>
        <v>1.6519929334654233</v>
      </c>
      <c r="N21" s="8">
        <v>14250</v>
      </c>
      <c r="O21">
        <f t="shared" si="9"/>
        <v>388065.44286357804</v>
      </c>
      <c r="P21">
        <f t="shared" si="10"/>
        <v>339424.5401490101</v>
      </c>
      <c r="Q21">
        <f t="shared" si="11"/>
        <v>48640.90271456796</v>
      </c>
      <c r="R21" s="1">
        <f t="shared" si="2"/>
        <v>24494.176203623236</v>
      </c>
      <c r="S21">
        <f t="shared" si="16"/>
        <v>2506.445873371594</v>
      </c>
      <c r="T21">
        <f t="shared" si="17"/>
        <v>0</v>
      </c>
      <c r="U21">
        <f t="shared" si="18"/>
        <v>41128.52634166696</v>
      </c>
      <c r="V21">
        <f t="shared" si="12"/>
        <v>2365937416.8880644</v>
      </c>
    </row>
    <row r="22" spans="1:22" ht="12.75">
      <c r="A22">
        <f t="shared" si="13"/>
        <v>35</v>
      </c>
      <c r="B22">
        <f t="shared" si="3"/>
        <v>0.6108652381980153</v>
      </c>
      <c r="C22" s="1">
        <f t="shared" si="4"/>
        <v>0.10791785021942729</v>
      </c>
      <c r="D22" s="1">
        <f t="shared" si="5"/>
        <v>30.353572073878873</v>
      </c>
      <c r="E22">
        <f t="shared" si="6"/>
        <v>1.2135950655525103</v>
      </c>
      <c r="F22">
        <f t="shared" si="7"/>
        <v>139.67045631709126</v>
      </c>
      <c r="G22">
        <f t="shared" si="0"/>
        <v>1.1063829311131048</v>
      </c>
      <c r="H22">
        <f t="shared" si="1"/>
        <v>2.3936399316825083</v>
      </c>
      <c r="J22">
        <f t="shared" si="8"/>
        <v>9.22839761111763</v>
      </c>
      <c r="K22">
        <f t="shared" si="14"/>
        <v>1.4898993621859455</v>
      </c>
      <c r="L22" s="9">
        <f t="shared" si="15"/>
        <v>1.5283521667580848</v>
      </c>
      <c r="N22" s="8">
        <v>14500</v>
      </c>
      <c r="O22">
        <f t="shared" si="9"/>
        <v>452268.2239007952</v>
      </c>
      <c r="P22">
        <f t="shared" si="10"/>
        <v>389371.8362975236</v>
      </c>
      <c r="Q22">
        <f t="shared" si="11"/>
        <v>62896.387603271636</v>
      </c>
      <c r="R22" s="1">
        <f t="shared" si="2"/>
        <v>22970.291792048487</v>
      </c>
      <c r="S22">
        <f t="shared" si="16"/>
        <v>2974.6254626976347</v>
      </c>
      <c r="T22">
        <f t="shared" si="17"/>
        <v>0</v>
      </c>
      <c r="U22">
        <f t="shared" si="18"/>
        <v>55768.6451589198</v>
      </c>
      <c r="V22">
        <f t="shared" si="12"/>
        <v>3955955573.540982</v>
      </c>
    </row>
    <row r="23" spans="1:22" ht="12.75">
      <c r="A23">
        <f t="shared" si="13"/>
        <v>40</v>
      </c>
      <c r="B23">
        <f t="shared" si="3"/>
        <v>0.6981317007977318</v>
      </c>
      <c r="C23" s="1">
        <f t="shared" si="4"/>
        <v>0.1406829483407207</v>
      </c>
      <c r="D23" s="1">
        <f t="shared" si="5"/>
        <v>33.78247719344975</v>
      </c>
      <c r="E23">
        <f t="shared" si="6"/>
        <v>1.2123896908491538</v>
      </c>
      <c r="F23">
        <f t="shared" si="7"/>
        <v>139.5518908168111</v>
      </c>
      <c r="G23">
        <f t="shared" si="0"/>
        <v>1.0846631834542166</v>
      </c>
      <c r="H23">
        <f t="shared" si="1"/>
        <v>2.2834483467205473</v>
      </c>
      <c r="J23">
        <f t="shared" si="8"/>
        <v>12.030245059114206</v>
      </c>
      <c r="K23">
        <f t="shared" si="14"/>
        <v>1.6811084687979454</v>
      </c>
      <c r="L23" s="9">
        <f t="shared" si="15"/>
        <v>1.3766649650436251</v>
      </c>
      <c r="N23" s="8">
        <v>14500</v>
      </c>
      <c r="O23">
        <f t="shared" si="9"/>
        <v>503358.9101824013</v>
      </c>
      <c r="P23">
        <f t="shared" si="10"/>
        <v>436355.77766267</v>
      </c>
      <c r="Q23">
        <f t="shared" si="11"/>
        <v>67003.1325197313</v>
      </c>
      <c r="R23" s="1">
        <f t="shared" si="2"/>
        <v>21988.99691492498</v>
      </c>
      <c r="S23">
        <f t="shared" si="16"/>
        <v>3385.565666329195</v>
      </c>
      <c r="T23">
        <f t="shared" si="17"/>
        <v>0</v>
      </c>
      <c r="U23">
        <f t="shared" si="18"/>
        <v>64949.76006150147</v>
      </c>
      <c r="V23">
        <f t="shared" si="12"/>
        <v>4489419767.456674</v>
      </c>
    </row>
    <row r="24" spans="1:22" ht="12.75">
      <c r="A24">
        <f t="shared" si="13"/>
        <v>45</v>
      </c>
      <c r="B24">
        <f t="shared" si="3"/>
        <v>0.7853981633974483</v>
      </c>
      <c r="C24" s="1">
        <f t="shared" si="4"/>
        <v>0.17670154775653288</v>
      </c>
      <c r="D24" s="1">
        <f t="shared" si="5"/>
        <v>36.72237311886565</v>
      </c>
      <c r="E24">
        <f t="shared" si="6"/>
        <v>1.2146858807146834</v>
      </c>
      <c r="F24">
        <f t="shared" si="7"/>
        <v>139.77771252660497</v>
      </c>
      <c r="G24">
        <f t="shared" si="0"/>
        <v>1.0607867132101185</v>
      </c>
      <c r="H24">
        <f t="shared" si="1"/>
        <v>2.1746016037422624</v>
      </c>
      <c r="J24">
        <f t="shared" si="8"/>
        <v>15.110309720602862</v>
      </c>
      <c r="K24">
        <f t="shared" si="14"/>
        <v>1.8480387968931937</v>
      </c>
      <c r="L24" s="9">
        <f t="shared" si="15"/>
        <v>1.2018629152338902</v>
      </c>
      <c r="N24" s="8">
        <v>15375</v>
      </c>
      <c r="O24">
        <f t="shared" si="9"/>
        <v>579295.4359501055</v>
      </c>
      <c r="P24">
        <f t="shared" si="10"/>
        <v>480018.78808098123</v>
      </c>
      <c r="Q24">
        <f t="shared" si="11"/>
        <v>99276.64786912431</v>
      </c>
      <c r="R24" s="1">
        <f t="shared" si="2"/>
        <v>21385.596085836343</v>
      </c>
      <c r="S24">
        <f t="shared" si="16"/>
        <v>3834.0388234155666</v>
      </c>
      <c r="T24">
        <f t="shared" si="17"/>
        <v>0</v>
      </c>
      <c r="U24">
        <f t="shared" si="18"/>
        <v>83139.8901944278</v>
      </c>
      <c r="V24">
        <f t="shared" si="12"/>
        <v>9855852812.130104</v>
      </c>
    </row>
    <row r="25" spans="1:22" ht="12.75">
      <c r="A25">
        <f t="shared" si="13"/>
        <v>50</v>
      </c>
      <c r="B25">
        <f t="shared" si="3"/>
        <v>0.8726646259971648</v>
      </c>
      <c r="C25" s="1">
        <f t="shared" si="4"/>
        <v>0.2154549555708464</v>
      </c>
      <c r="D25" s="1">
        <f t="shared" si="5"/>
        <v>39.13792244161225</v>
      </c>
      <c r="E25">
        <f t="shared" si="6"/>
        <v>1.220457277997718</v>
      </c>
      <c r="F25">
        <f t="shared" si="7"/>
        <v>140.34454876048906</v>
      </c>
      <c r="G25">
        <f t="shared" si="0"/>
        <v>1.0350973581673555</v>
      </c>
      <c r="H25">
        <f t="shared" si="1"/>
        <v>2.067417183382817</v>
      </c>
      <c r="J25">
        <f t="shared" si="8"/>
        <v>18.424236521119294</v>
      </c>
      <c r="K25">
        <f t="shared" si="14"/>
        <v>1.9883560803098594</v>
      </c>
      <c r="L25" s="9">
        <f t="shared" si="15"/>
        <v>1.0102546447319556</v>
      </c>
      <c r="N25" s="8">
        <v>16250</v>
      </c>
      <c r="O25">
        <f t="shared" si="9"/>
        <v>651646.4086528439</v>
      </c>
      <c r="P25">
        <f t="shared" si="10"/>
        <v>520028.56567872735</v>
      </c>
      <c r="Q25">
        <f t="shared" si="11"/>
        <v>131617.84297411656</v>
      </c>
      <c r="R25" s="1">
        <f t="shared" si="2"/>
        <v>21063.289650387564</v>
      </c>
      <c r="S25">
        <f t="shared" si="16"/>
        <v>4366.788961097173</v>
      </c>
      <c r="T25">
        <f t="shared" si="17"/>
        <v>0</v>
      </c>
      <c r="U25">
        <f t="shared" si="18"/>
        <v>115447.24542162044</v>
      </c>
      <c r="V25">
        <f t="shared" si="12"/>
        <v>17323256589.159203</v>
      </c>
    </row>
    <row r="26" spans="1:22" ht="12.75">
      <c r="A26">
        <f t="shared" si="13"/>
        <v>55</v>
      </c>
      <c r="B26">
        <f t="shared" si="3"/>
        <v>0.9599310885968813</v>
      </c>
      <c r="C26" s="1">
        <f t="shared" si="4"/>
        <v>0.2563983232954534</v>
      </c>
      <c r="D26" s="1">
        <f t="shared" si="5"/>
        <v>41.013287405089415</v>
      </c>
      <c r="E26">
        <f t="shared" si="6"/>
        <v>1.2296383594827582</v>
      </c>
      <c r="F26">
        <f t="shared" si="7"/>
        <v>141.2440162820357</v>
      </c>
      <c r="G26">
        <f t="shared" si="0"/>
        <v>1.0079562944662337</v>
      </c>
      <c r="H26">
        <f t="shared" si="1"/>
        <v>1.9621907385670192</v>
      </c>
      <c r="J26">
        <f t="shared" si="8"/>
        <v>21.925433738564006</v>
      </c>
      <c r="K26">
        <f t="shared" si="14"/>
        <v>2.1007183304668278</v>
      </c>
      <c r="L26" s="9">
        <f t="shared" si="15"/>
        <v>0.8089843414124197</v>
      </c>
      <c r="N26" s="8">
        <v>17800</v>
      </c>
      <c r="O26">
        <f t="shared" si="9"/>
        <v>746441.8307726274</v>
      </c>
      <c r="P26">
        <f t="shared" si="10"/>
        <v>556080.6118898252</v>
      </c>
      <c r="Q26">
        <f t="shared" si="11"/>
        <v>190361.21888280218</v>
      </c>
      <c r="R26" s="1">
        <f t="shared" si="2"/>
        <v>20960.897097488232</v>
      </c>
      <c r="S26">
        <f t="shared" si="16"/>
        <v>4967.323552249686</v>
      </c>
      <c r="T26">
        <f t="shared" si="17"/>
        <v>0</v>
      </c>
      <c r="U26">
        <f t="shared" si="18"/>
        <v>160989.53092845937</v>
      </c>
      <c r="V26">
        <f t="shared" si="12"/>
        <v>36237393654.54612</v>
      </c>
    </row>
    <row r="27" spans="1:22" ht="12.75">
      <c r="A27">
        <f t="shared" si="13"/>
        <v>60</v>
      </c>
      <c r="B27">
        <f t="shared" si="3"/>
        <v>1.0471975511965976</v>
      </c>
      <c r="C27" s="1">
        <f t="shared" si="4"/>
        <v>0.29898050853221786</v>
      </c>
      <c r="D27" s="1">
        <f t="shared" si="5"/>
        <v>42.35176905794182</v>
      </c>
      <c r="E27">
        <f t="shared" si="6"/>
        <v>1.2421269728655835</v>
      </c>
      <c r="F27">
        <f t="shared" si="7"/>
        <v>142.46304999290152</v>
      </c>
      <c r="G27">
        <f t="shared" si="0"/>
        <v>0.979728870434639</v>
      </c>
      <c r="H27">
        <f t="shared" si="1"/>
        <v>1.8591854653185331</v>
      </c>
      <c r="J27">
        <f t="shared" si="8"/>
        <v>25.566771438639726</v>
      </c>
      <c r="K27">
        <f t="shared" si="14"/>
        <v>2.1848026200454322</v>
      </c>
      <c r="L27" s="9">
        <f t="shared" si="15"/>
        <v>0.6053890299709351</v>
      </c>
      <c r="N27" s="8">
        <v>18000</v>
      </c>
      <c r="O27">
        <f t="shared" si="9"/>
        <v>779272.5506661296</v>
      </c>
      <c r="P27">
        <f t="shared" si="10"/>
        <v>587900.5488737877</v>
      </c>
      <c r="Q27">
        <f t="shared" si="11"/>
        <v>191372.00179234182</v>
      </c>
      <c r="R27" s="1">
        <f t="shared" si="2"/>
        <v>21037.134010427784</v>
      </c>
      <c r="S27">
        <f t="shared" si="16"/>
        <v>5431.662069279616</v>
      </c>
      <c r="T27">
        <f t="shared" si="17"/>
        <v>0</v>
      </c>
      <c r="U27">
        <f t="shared" si="18"/>
        <v>190866.610337572</v>
      </c>
      <c r="V27">
        <f t="shared" si="12"/>
        <v>36623243070.00808</v>
      </c>
    </row>
    <row r="28" spans="1:22" ht="12.75">
      <c r="A28">
        <f t="shared" si="13"/>
        <v>65</v>
      </c>
      <c r="B28">
        <f t="shared" si="3"/>
        <v>1.1344640137963142</v>
      </c>
      <c r="C28" s="1">
        <f t="shared" si="4"/>
        <v>0.34266273027945615</v>
      </c>
      <c r="D28" s="1">
        <f t="shared" si="5"/>
        <v>43.17385090382451</v>
      </c>
      <c r="E28">
        <f t="shared" si="6"/>
        <v>1.257788100983041</v>
      </c>
      <c r="F28">
        <f t="shared" si="7"/>
        <v>143.98439389197773</v>
      </c>
      <c r="G28">
        <f t="shared" si="0"/>
        <v>0.9507722401197422</v>
      </c>
      <c r="H28">
        <f t="shared" si="1"/>
        <v>1.7586235005213777</v>
      </c>
      <c r="J28">
        <f t="shared" si="8"/>
        <v>29.302176749261413</v>
      </c>
      <c r="K28">
        <f t="shared" si="14"/>
        <v>2.241243186373012</v>
      </c>
      <c r="L28" s="9">
        <f t="shared" si="15"/>
        <v>0.40636009260828604</v>
      </c>
      <c r="N28" s="8">
        <v>18500</v>
      </c>
      <c r="O28">
        <f t="shared" si="9"/>
        <v>815985.7820822832</v>
      </c>
      <c r="P28">
        <f t="shared" si="10"/>
        <v>615246.2076967638</v>
      </c>
      <c r="Q28">
        <f t="shared" si="11"/>
        <v>200739.57438551937</v>
      </c>
      <c r="R28" s="1">
        <f t="shared" si="2"/>
        <v>21262.33004742035</v>
      </c>
      <c r="S28">
        <f t="shared" si="16"/>
        <v>5680.928909903815</v>
      </c>
      <c r="T28">
        <f t="shared" si="17"/>
        <v>0</v>
      </c>
      <c r="U28">
        <f t="shared" si="18"/>
        <v>196055.7880889306</v>
      </c>
      <c r="V28">
        <f t="shared" si="12"/>
        <v>40296376724.47946</v>
      </c>
    </row>
    <row r="29" spans="1:22" ht="12.75">
      <c r="A29">
        <f t="shared" si="13"/>
        <v>70</v>
      </c>
      <c r="B29">
        <f t="shared" si="3"/>
        <v>1.2217304763960306</v>
      </c>
      <c r="C29" s="1">
        <f t="shared" si="4"/>
        <v>0.38693456916267166</v>
      </c>
      <c r="D29" s="1">
        <f t="shared" si="5"/>
        <v>43.51402999724081</v>
      </c>
      <c r="E29">
        <f t="shared" si="6"/>
        <v>1.276458486724255</v>
      </c>
      <c r="F29">
        <f t="shared" si="7"/>
        <v>145.78721055509268</v>
      </c>
      <c r="G29">
        <f t="shared" si="0"/>
        <v>0.9214247568502357</v>
      </c>
      <c r="H29">
        <f t="shared" si="1"/>
        <v>1.660679940393369</v>
      </c>
      <c r="J29">
        <f t="shared" si="8"/>
        <v>33.08800209102774</v>
      </c>
      <c r="K29">
        <f t="shared" si="14"/>
        <v>2.2714952050597956</v>
      </c>
      <c r="L29" s="9">
        <f t="shared" si="15"/>
        <v>0.21780811063800268</v>
      </c>
      <c r="N29" s="8">
        <v>19772</v>
      </c>
      <c r="O29">
        <f t="shared" si="9"/>
        <v>877765.0131043417</v>
      </c>
      <c r="P29">
        <f t="shared" si="10"/>
        <v>637909.4713833502</v>
      </c>
      <c r="Q29">
        <f t="shared" si="11"/>
        <v>239855.5417209915</v>
      </c>
      <c r="R29" s="1">
        <f t="shared" si="2"/>
        <v>21613.807304083086</v>
      </c>
      <c r="S29">
        <f t="shared" si="16"/>
        <v>6037.129478336702</v>
      </c>
      <c r="T29">
        <f t="shared" si="17"/>
        <v>0</v>
      </c>
      <c r="U29">
        <f t="shared" si="18"/>
        <v>220297.55805325543</v>
      </c>
      <c r="V29">
        <f t="shared" si="12"/>
        <v>57530680894.27029</v>
      </c>
    </row>
    <row r="30" spans="1:22" ht="12.75">
      <c r="A30">
        <f t="shared" si="13"/>
        <v>75</v>
      </c>
      <c r="B30">
        <f t="shared" si="3"/>
        <v>1.3089969389957472</v>
      </c>
      <c r="C30" s="1">
        <f t="shared" si="4"/>
        <v>0.4313263307868134</v>
      </c>
      <c r="D30" s="1">
        <f t="shared" si="5"/>
        <v>43.41694828587043</v>
      </c>
      <c r="E30">
        <f t="shared" si="6"/>
        <v>1.297951706344397</v>
      </c>
      <c r="F30">
        <f t="shared" si="7"/>
        <v>147.84775962520172</v>
      </c>
      <c r="G30">
        <f t="shared" si="0"/>
        <v>0.8919977776591289</v>
      </c>
      <c r="H30">
        <f t="shared" si="1"/>
        <v>1.5654797182226874</v>
      </c>
      <c r="J30">
        <f t="shared" si="8"/>
        <v>36.88408240668052</v>
      </c>
      <c r="K30">
        <f t="shared" si="14"/>
        <v>2.277648189391668</v>
      </c>
      <c r="L30" s="9">
        <f t="shared" si="15"/>
        <v>0.0443001806254931</v>
      </c>
      <c r="N30" s="8">
        <v>19000</v>
      </c>
      <c r="O30">
        <f t="shared" si="9"/>
        <v>842288.7967458864</v>
      </c>
      <c r="P30">
        <f t="shared" si="10"/>
        <v>655717.8588124394</v>
      </c>
      <c r="Q30">
        <f t="shared" si="11"/>
        <v>186570.93793344707</v>
      </c>
      <c r="R30" s="1">
        <f t="shared" si="2"/>
        <v>22073.20222480897</v>
      </c>
      <c r="S30">
        <f t="shared" si="16"/>
        <v>6132.567749937066</v>
      </c>
      <c r="T30">
        <f t="shared" si="17"/>
        <v>0</v>
      </c>
      <c r="U30">
        <f t="shared" si="18"/>
        <v>213213.23982721928</v>
      </c>
      <c r="V30">
        <f t="shared" si="12"/>
        <v>34808714881.36616</v>
      </c>
    </row>
    <row r="31" spans="1:22" ht="12.75">
      <c r="A31">
        <f t="shared" si="13"/>
        <v>80</v>
      </c>
      <c r="B31">
        <f t="shared" si="3"/>
        <v>1.3962634015954636</v>
      </c>
      <c r="C31" s="1">
        <f t="shared" si="4"/>
        <v>0.475417330355135</v>
      </c>
      <c r="D31" s="1">
        <f t="shared" si="5"/>
        <v>42.93335107881674</v>
      </c>
      <c r="E31">
        <f t="shared" si="6"/>
        <v>1.3220632913634616</v>
      </c>
      <c r="F31">
        <f t="shared" si="7"/>
        <v>150.1400968711095</v>
      </c>
      <c r="G31">
        <f t="shared" si="0"/>
        <v>0.8627701714695495</v>
      </c>
      <c r="H31">
        <f t="shared" si="1"/>
        <v>1.4730972344524562</v>
      </c>
      <c r="J31">
        <f t="shared" si="8"/>
        <v>40.654443605136265</v>
      </c>
      <c r="K31">
        <f t="shared" si="14"/>
        <v>2.2622167190734475</v>
      </c>
      <c r="L31" s="9">
        <f t="shared" si="15"/>
        <v>-0.11110330947423268</v>
      </c>
      <c r="N31" s="8">
        <v>18000</v>
      </c>
      <c r="O31">
        <f t="shared" si="9"/>
        <v>789973.659850228</v>
      </c>
      <c r="P31">
        <f t="shared" si="10"/>
        <v>668535.8374026973</v>
      </c>
      <c r="Q31">
        <f t="shared" si="11"/>
        <v>121437.82244753069</v>
      </c>
      <c r="R31" s="1">
        <f t="shared" si="2"/>
        <v>22624.893528295757</v>
      </c>
      <c r="S31">
        <f t="shared" si="16"/>
        <v>5812.640180952608</v>
      </c>
      <c r="T31">
        <f t="shared" si="17"/>
        <v>0</v>
      </c>
      <c r="U31">
        <f t="shared" si="18"/>
        <v>154004.38019048888</v>
      </c>
      <c r="V31">
        <f t="shared" si="12"/>
        <v>14747144720.797989</v>
      </c>
    </row>
    <row r="32" spans="1:22" ht="12.75">
      <c r="A32">
        <f t="shared" si="13"/>
        <v>85</v>
      </c>
      <c r="B32">
        <f t="shared" si="3"/>
        <v>1.4835298641951802</v>
      </c>
      <c r="C32" s="1">
        <f t="shared" si="4"/>
        <v>0.5188401592504233</v>
      </c>
      <c r="D32" s="1">
        <f t="shared" si="5"/>
        <v>42.1163176671238</v>
      </c>
      <c r="E32">
        <f t="shared" si="6"/>
        <v>1.3485755574927185</v>
      </c>
      <c r="F32">
        <f t="shared" si="7"/>
        <v>152.63675190162746</v>
      </c>
      <c r="G32">
        <f t="shared" si="0"/>
        <v>0.8339854908087638</v>
      </c>
      <c r="H32">
        <f t="shared" si="1"/>
        <v>1.3835583573212111</v>
      </c>
      <c r="J32">
        <f t="shared" si="8"/>
        <v>44.36766741037762</v>
      </c>
      <c r="K32">
        <f t="shared" si="14"/>
        <v>2.2279342831448137</v>
      </c>
      <c r="L32" s="9">
        <f t="shared" si="15"/>
        <v>-0.24682625893478757</v>
      </c>
      <c r="N32" s="8">
        <v>17750</v>
      </c>
      <c r="O32">
        <f t="shared" si="9"/>
        <v>764411.165658297</v>
      </c>
      <c r="P32">
        <f t="shared" si="10"/>
        <v>676265.8545973455</v>
      </c>
      <c r="Q32">
        <f t="shared" si="11"/>
        <v>88145.31106095156</v>
      </c>
      <c r="R32" s="1">
        <f t="shared" si="2"/>
        <v>23255.103527130894</v>
      </c>
      <c r="S32">
        <f t="shared" si="16"/>
        <v>5531.156293224102</v>
      </c>
      <c r="T32">
        <f t="shared" si="17"/>
        <v>0</v>
      </c>
      <c r="U32">
        <f t="shared" si="18"/>
        <v>104791.56675424112</v>
      </c>
      <c r="V32">
        <f t="shared" si="12"/>
        <v>7769595862.031909</v>
      </c>
    </row>
    <row r="33" spans="1:22" ht="12.75">
      <c r="A33">
        <f t="shared" si="13"/>
        <v>90</v>
      </c>
      <c r="B33">
        <f t="shared" si="3"/>
        <v>1.5707963267948966</v>
      </c>
      <c r="C33" s="1">
        <f t="shared" si="4"/>
        <v>0.561281380965636</v>
      </c>
      <c r="D33" s="1">
        <f t="shared" si="5"/>
        <v>41.018071317100926</v>
      </c>
      <c r="E33">
        <f t="shared" si="6"/>
        <v>1.377261884556677</v>
      </c>
      <c r="F33">
        <f t="shared" si="7"/>
        <v>155.30935250425196</v>
      </c>
      <c r="G33">
        <f t="shared" si="0"/>
        <v>0.8058515104807673</v>
      </c>
      <c r="H33">
        <f t="shared" si="1"/>
        <v>1.2968442414574564</v>
      </c>
      <c r="J33">
        <f t="shared" si="8"/>
        <v>47.99695087268917</v>
      </c>
      <c r="K33">
        <f t="shared" si="14"/>
        <v>2.177570077386929</v>
      </c>
      <c r="L33" s="9">
        <f t="shared" si="15"/>
        <v>-0.36261158679968913</v>
      </c>
      <c r="N33" s="8">
        <v>17500</v>
      </c>
      <c r="O33">
        <f t="shared" si="9"/>
        <v>734223.4765761066</v>
      </c>
      <c r="P33">
        <f t="shared" si="10"/>
        <v>678849.0802980203</v>
      </c>
      <c r="Q33">
        <f t="shared" si="11"/>
        <v>55374.39627808635</v>
      </c>
      <c r="R33" s="1">
        <f t="shared" si="2"/>
        <v>23951.43945643266</v>
      </c>
      <c r="S33">
        <f t="shared" si="16"/>
        <v>5330.510085270086</v>
      </c>
      <c r="T33">
        <f t="shared" si="17"/>
        <v>0</v>
      </c>
      <c r="U33">
        <f t="shared" si="18"/>
        <v>71759.85366951895</v>
      </c>
      <c r="V33">
        <f t="shared" si="12"/>
        <v>3066323763.162544</v>
      </c>
    </row>
    <row r="34" spans="1:22" ht="12.75">
      <c r="A34">
        <f t="shared" si="13"/>
        <v>95</v>
      </c>
      <c r="B34">
        <f t="shared" si="3"/>
        <v>1.6580627893946132</v>
      </c>
      <c r="C34" s="1">
        <f t="shared" si="4"/>
        <v>0.6024793398045164</v>
      </c>
      <c r="D34" s="1">
        <f t="shared" si="5"/>
        <v>39.68752500158256</v>
      </c>
      <c r="E34">
        <f t="shared" si="6"/>
        <v>1.407890285243195</v>
      </c>
      <c r="F34">
        <f t="shared" si="7"/>
        <v>158.12917461747077</v>
      </c>
      <c r="G34">
        <f t="shared" si="0"/>
        <v>0.7785416801628711</v>
      </c>
      <c r="H34">
        <f t="shared" si="1"/>
        <v>1.2128963492263614</v>
      </c>
      <c r="J34">
        <f t="shared" si="8"/>
        <v>51.519918983697785</v>
      </c>
      <c r="K34">
        <f t="shared" si="14"/>
        <v>2.11378086660517</v>
      </c>
      <c r="L34" s="9">
        <f t="shared" si="15"/>
        <v>-0.4592687722202843</v>
      </c>
      <c r="N34" s="8">
        <v>16900</v>
      </c>
      <c r="O34">
        <f t="shared" si="9"/>
        <v>686594.1825273782</v>
      </c>
      <c r="P34">
        <f t="shared" si="10"/>
        <v>676265.8545973455</v>
      </c>
      <c r="Q34">
        <f t="shared" si="11"/>
        <v>10328.327930032741</v>
      </c>
      <c r="R34" s="1">
        <f t="shared" si="2"/>
        <v>24702.745876887482</v>
      </c>
      <c r="S34">
        <f t="shared" si="16"/>
        <v>5049.587625779016</v>
      </c>
      <c r="T34">
        <f t="shared" si="17"/>
        <v>0</v>
      </c>
      <c r="U34">
        <f t="shared" si="18"/>
        <v>32851.362104059546</v>
      </c>
      <c r="V34">
        <f t="shared" si="12"/>
        <v>106674357.83029442</v>
      </c>
    </row>
    <row r="35" spans="1:22" ht="12.75">
      <c r="A35">
        <f t="shared" si="13"/>
        <v>100</v>
      </c>
      <c r="B35">
        <f t="shared" si="3"/>
        <v>1.7453292519943295</v>
      </c>
      <c r="C35" s="1">
        <f t="shared" si="4"/>
        <v>0.6422198558128093</v>
      </c>
      <c r="D35" s="1">
        <f t="shared" si="5"/>
        <v>38.16858821519275</v>
      </c>
      <c r="E35">
        <f t="shared" si="6"/>
        <v>1.4402261876450468</v>
      </c>
      <c r="F35">
        <f t="shared" si="7"/>
        <v>161.0676073515923</v>
      </c>
      <c r="G35">
        <f t="shared" si="0"/>
        <v>0.7521979782048055</v>
      </c>
      <c r="H35">
        <f t="shared" si="1"/>
        <v>1.1316220870704314</v>
      </c>
      <c r="J35">
        <f t="shared" si="8"/>
        <v>54.91825653628824</v>
      </c>
      <c r="K35">
        <f t="shared" si="14"/>
        <v>2.0390025315542726</v>
      </c>
      <c r="L35" s="9">
        <f t="shared" si="15"/>
        <v>-0.5383881334572578</v>
      </c>
      <c r="N35" s="8">
        <v>16400</v>
      </c>
      <c r="O35">
        <f t="shared" si="9"/>
        <v>641232.2820152382</v>
      </c>
      <c r="P35">
        <f t="shared" si="10"/>
        <v>668535.8374026973</v>
      </c>
      <c r="Q35">
        <f t="shared" si="11"/>
        <v>-27303.555387459113</v>
      </c>
      <c r="R35" s="1">
        <f t="shared" si="2"/>
        <v>25499.19836252202</v>
      </c>
      <c r="S35">
        <f t="shared" si="16"/>
        <v>4715.193354219256</v>
      </c>
      <c r="T35">
        <f t="shared" si="17"/>
        <v>-8487.613728713186</v>
      </c>
      <c r="U35">
        <f t="shared" si="18"/>
        <v>0</v>
      </c>
      <c r="V35">
        <f t="shared" si="12"/>
        <v>745484136.7960476</v>
      </c>
    </row>
    <row r="36" spans="1:22" ht="12.75">
      <c r="A36">
        <f t="shared" si="13"/>
        <v>105</v>
      </c>
      <c r="B36">
        <f t="shared" si="3"/>
        <v>1.8325957145940461</v>
      </c>
      <c r="C36" s="1">
        <f t="shared" si="4"/>
        <v>0.6803305539613044</v>
      </c>
      <c r="D36" s="1">
        <f t="shared" si="5"/>
        <v>36.49916654774855</v>
      </c>
      <c r="E36">
        <f t="shared" si="6"/>
        <v>1.4740344276707018</v>
      </c>
      <c r="F36">
        <f t="shared" si="7"/>
        <v>164.09653109369526</v>
      </c>
      <c r="G36">
        <f t="shared" si="0"/>
        <v>0.7269346707724549</v>
      </c>
      <c r="H36">
        <f t="shared" si="1"/>
        <v>1.052900557064019</v>
      </c>
      <c r="J36">
        <f t="shared" si="8"/>
        <v>58.17722319506147</v>
      </c>
      <c r="K36">
        <f t="shared" si="14"/>
        <v>1.9553799952639395</v>
      </c>
      <c r="L36" s="9">
        <f t="shared" si="15"/>
        <v>-0.6020645043470219</v>
      </c>
      <c r="N36" s="8">
        <v>16000</v>
      </c>
      <c r="O36">
        <f t="shared" si="9"/>
        <v>598586.3313830763</v>
      </c>
      <c r="P36">
        <f t="shared" si="10"/>
        <v>655717.8588124394</v>
      </c>
      <c r="Q36">
        <f t="shared" si="11"/>
        <v>-57131.52742936311</v>
      </c>
      <c r="R36" s="1">
        <f t="shared" si="2"/>
        <v>26332.606552426234</v>
      </c>
      <c r="S36">
        <f t="shared" si="16"/>
        <v>4399.604989343864</v>
      </c>
      <c r="T36">
        <f t="shared" si="17"/>
        <v>-42217.54140841111</v>
      </c>
      <c r="U36">
        <f t="shared" si="18"/>
        <v>0</v>
      </c>
      <c r="V36">
        <f t="shared" si="12"/>
        <v>3264011426.4120693</v>
      </c>
    </row>
    <row r="37" spans="1:22" ht="12.75">
      <c r="A37">
        <f t="shared" si="13"/>
        <v>110</v>
      </c>
      <c r="B37">
        <f t="shared" si="3"/>
        <v>1.9198621771937625</v>
      </c>
      <c r="C37" s="1">
        <f t="shared" si="4"/>
        <v>0.7166744755491203</v>
      </c>
      <c r="D37" s="1">
        <f t="shared" si="5"/>
        <v>34.71073274679072</v>
      </c>
      <c r="E37">
        <f t="shared" si="6"/>
        <v>1.5090804989141322</v>
      </c>
      <c r="F37">
        <f t="shared" si="7"/>
        <v>167.18861306471533</v>
      </c>
      <c r="G37">
        <f t="shared" si="0"/>
        <v>0.7028425468026268</v>
      </c>
      <c r="H37">
        <f t="shared" si="1"/>
        <v>0.9765880417379051</v>
      </c>
      <c r="J37">
        <f t="shared" si="8"/>
        <v>61.285107187169295</v>
      </c>
      <c r="K37">
        <f t="shared" si="14"/>
        <v>1.8647303952646936</v>
      </c>
      <c r="L37" s="9">
        <f t="shared" si="15"/>
        <v>-0.6526578708796117</v>
      </c>
      <c r="N37" s="8">
        <v>16600</v>
      </c>
      <c r="O37">
        <f t="shared" si="9"/>
        <v>590082.4566954422</v>
      </c>
      <c r="P37">
        <f t="shared" si="10"/>
        <v>637909.4713833503</v>
      </c>
      <c r="Q37">
        <f t="shared" si="11"/>
        <v>-47827.014687908115</v>
      </c>
      <c r="R37" s="1">
        <f t="shared" si="2"/>
        <v>27196.924512402195</v>
      </c>
      <c r="S37">
        <f t="shared" si="16"/>
        <v>4221.542422613126</v>
      </c>
      <c r="T37">
        <f t="shared" si="17"/>
        <v>-52479.27105863561</v>
      </c>
      <c r="U37">
        <f t="shared" si="18"/>
        <v>0</v>
      </c>
      <c r="V37">
        <f t="shared" si="12"/>
        <v>2287423333.9573784</v>
      </c>
    </row>
    <row r="38" spans="1:22" ht="12.75">
      <c r="A38">
        <f t="shared" si="13"/>
        <v>115</v>
      </c>
      <c r="B38">
        <f t="shared" si="3"/>
        <v>2.007128639793479</v>
      </c>
      <c r="C38" s="1">
        <f t="shared" si="4"/>
        <v>0.7511434841977811</v>
      </c>
      <c r="D38" s="1">
        <f t="shared" si="5"/>
        <v>32.82832979115311</v>
      </c>
      <c r="E38">
        <f t="shared" si="6"/>
        <v>1.5451311402668957</v>
      </c>
      <c r="F38">
        <f t="shared" si="7"/>
        <v>170.31752874600423</v>
      </c>
      <c r="G38">
        <f t="shared" si="0"/>
        <v>0.6799932891221071</v>
      </c>
      <c r="H38">
        <f t="shared" si="1"/>
        <v>0.9025229628104325</v>
      </c>
      <c r="J38">
        <f t="shared" si="8"/>
        <v>64.23266142795633</v>
      </c>
      <c r="K38">
        <f t="shared" si="14"/>
        <v>1.7685325444722209</v>
      </c>
      <c r="L38" s="9">
        <f t="shared" si="15"/>
        <v>-0.6926040984398407</v>
      </c>
      <c r="N38" s="8">
        <v>17200</v>
      </c>
      <c r="O38">
        <f t="shared" si="9"/>
        <v>577778.6043242947</v>
      </c>
      <c r="P38">
        <f t="shared" si="10"/>
        <v>615246.2076967639</v>
      </c>
      <c r="Q38">
        <f t="shared" si="11"/>
        <v>-37467.603372469195</v>
      </c>
      <c r="R38" s="1">
        <f t="shared" si="2"/>
        <v>28088.99757150615</v>
      </c>
      <c r="S38">
        <f t="shared" si="16"/>
        <v>4151.138889108407</v>
      </c>
      <c r="T38">
        <f t="shared" si="17"/>
        <v>-42647.309030188655</v>
      </c>
      <c r="U38">
        <f t="shared" si="18"/>
        <v>0</v>
      </c>
      <c r="V38">
        <f t="shared" si="12"/>
        <v>1403821302.476665</v>
      </c>
    </row>
    <row r="39" spans="1:22" ht="12.75">
      <c r="A39">
        <f t="shared" si="13"/>
        <v>120</v>
      </c>
      <c r="B39">
        <f t="shared" si="3"/>
        <v>2.0943951023931953</v>
      </c>
      <c r="C39" s="1">
        <f t="shared" si="4"/>
        <v>0.7836518381013847</v>
      </c>
      <c r="D39" s="1">
        <f t="shared" si="5"/>
        <v>30.870872903740754</v>
      </c>
      <c r="E39">
        <f t="shared" si="6"/>
        <v>1.5819543588668161</v>
      </c>
      <c r="F39">
        <f t="shared" si="7"/>
        <v>173.4581196808312</v>
      </c>
      <c r="G39">
        <f t="shared" si="0"/>
        <v>0.6584437353567473</v>
      </c>
      <c r="H39">
        <f t="shared" si="1"/>
        <v>0.830530165045277</v>
      </c>
      <c r="J39">
        <f t="shared" si="8"/>
        <v>67.01255386368776</v>
      </c>
      <c r="K39">
        <f t="shared" si="14"/>
        <v>1.667935461438856</v>
      </c>
      <c r="L39" s="9">
        <f t="shared" si="15"/>
        <v>-0.7242776364131963</v>
      </c>
      <c r="N39" s="8">
        <v>17900</v>
      </c>
      <c r="O39">
        <f t="shared" si="9"/>
        <v>564936.9741384558</v>
      </c>
      <c r="P39">
        <f t="shared" si="10"/>
        <v>587900.5488737879</v>
      </c>
      <c r="Q39">
        <f t="shared" si="11"/>
        <v>-22963.574735332048</v>
      </c>
      <c r="R39" s="1">
        <f t="shared" si="2"/>
        <v>29009.617010336424</v>
      </c>
      <c r="S39">
        <f t="shared" si="16"/>
        <v>4065.592687257211</v>
      </c>
      <c r="T39">
        <f t="shared" si="17"/>
        <v>-30215.58905390062</v>
      </c>
      <c r="U39">
        <f t="shared" si="18"/>
        <v>0</v>
      </c>
      <c r="V39">
        <f t="shared" si="12"/>
        <v>527325764.6251803</v>
      </c>
    </row>
    <row r="40" spans="1:22" ht="12.75">
      <c r="A40">
        <f t="shared" si="13"/>
        <v>125</v>
      </c>
      <c r="B40">
        <f t="shared" si="3"/>
        <v>2.1816615649929116</v>
      </c>
      <c r="C40" s="1">
        <f t="shared" si="4"/>
        <v>0.8141301741557311</v>
      </c>
      <c r="D40" s="1">
        <f t="shared" si="5"/>
        <v>28.851638177078055</v>
      </c>
      <c r="E40">
        <f t="shared" si="6"/>
        <v>1.619318992467835</v>
      </c>
      <c r="F40">
        <f t="shared" si="7"/>
        <v>176.58649874547254</v>
      </c>
      <c r="G40">
        <f t="shared" si="0"/>
        <v>0.6382398658089559</v>
      </c>
      <c r="H40">
        <f t="shared" si="1"/>
        <v>0.760424466498788</v>
      </c>
      <c r="J40">
        <f t="shared" si="8"/>
        <v>69.61885303535284</v>
      </c>
      <c r="K40">
        <f t="shared" si="14"/>
        <v>1.5637795029990516</v>
      </c>
      <c r="L40" s="9">
        <f t="shared" si="15"/>
        <v>-0.7499007836252297</v>
      </c>
      <c r="N40" s="8">
        <v>17950</v>
      </c>
      <c r="O40">
        <f t="shared" si="9"/>
        <v>529427.5605493824</v>
      </c>
      <c r="P40">
        <f t="shared" si="10"/>
        <v>556080.6118898252</v>
      </c>
      <c r="Q40">
        <f t="shared" si="11"/>
        <v>-26653.05134044285</v>
      </c>
      <c r="R40" s="1">
        <f t="shared" si="2"/>
        <v>29965.021442208803</v>
      </c>
      <c r="S40">
        <f t="shared" si="16"/>
        <v>3893.1593876747215</v>
      </c>
      <c r="T40">
        <f t="shared" si="17"/>
        <v>-24808.31303788745</v>
      </c>
      <c r="U40">
        <f t="shared" si="18"/>
        <v>0</v>
      </c>
      <c r="V40">
        <f t="shared" si="12"/>
        <v>710385145.7562823</v>
      </c>
    </row>
    <row r="41" spans="1:22" ht="12.75">
      <c r="A41">
        <f t="shared" si="13"/>
        <v>130</v>
      </c>
      <c r="B41">
        <f t="shared" si="3"/>
        <v>2.2689280275926285</v>
      </c>
      <c r="C41" s="1">
        <f t="shared" si="4"/>
        <v>0.8425200484091215</v>
      </c>
      <c r="D41" s="1">
        <f t="shared" si="5"/>
        <v>26.778852310349922</v>
      </c>
      <c r="E41">
        <f t="shared" si="6"/>
        <v>1.6569939155964746</v>
      </c>
      <c r="F41">
        <f t="shared" si="7"/>
        <v>179.68011354899838</v>
      </c>
      <c r="G41">
        <f t="shared" si="0"/>
        <v>0.6194204225535586</v>
      </c>
      <c r="H41">
        <f t="shared" si="1"/>
        <v>0.6920134837723135</v>
      </c>
      <c r="J41">
        <f t="shared" si="8"/>
        <v>72.04656121529909</v>
      </c>
      <c r="K41">
        <f t="shared" si="14"/>
        <v>1.4566249079677505</v>
      </c>
      <c r="L41" s="9">
        <f t="shared" si="15"/>
        <v>-0.7714903303343585</v>
      </c>
      <c r="N41" s="8">
        <v>18000</v>
      </c>
      <c r="O41">
        <f t="shared" si="9"/>
        <v>492730.88251043856</v>
      </c>
      <c r="P41">
        <f t="shared" si="10"/>
        <v>520028.56567872735</v>
      </c>
      <c r="Q41">
        <f t="shared" si="11"/>
        <v>-27297.683168288786</v>
      </c>
      <c r="R41" s="1">
        <f t="shared" si="2"/>
        <v>30500</v>
      </c>
      <c r="S41">
        <f t="shared" si="16"/>
        <v>3636.504544544488</v>
      </c>
      <c r="T41">
        <f t="shared" si="17"/>
        <v>-26975.367254365818</v>
      </c>
      <c r="U41">
        <f t="shared" si="18"/>
        <v>0</v>
      </c>
      <c r="V41">
        <f t="shared" si="12"/>
        <v>745163506.3562769</v>
      </c>
    </row>
    <row r="42" spans="1:22" ht="12.75">
      <c r="A42">
        <f t="shared" si="13"/>
        <v>135</v>
      </c>
      <c r="B42">
        <f t="shared" si="3"/>
        <v>2.356194490192345</v>
      </c>
      <c r="C42" s="1">
        <f t="shared" si="4"/>
        <v>0.8687691040951557</v>
      </c>
      <c r="D42" s="1">
        <f t="shared" si="5"/>
        <v>24.656325294149603</v>
      </c>
      <c r="E42">
        <f t="shared" si="6"/>
        <v>1.6947469919866056</v>
      </c>
      <c r="F42">
        <f t="shared" si="7"/>
        <v>182.7177775722001</v>
      </c>
      <c r="G42">
        <f t="shared" si="0"/>
        <v>0.6020201125140701</v>
      </c>
      <c r="H42">
        <f t="shared" si="1"/>
        <v>0.6250997875232396</v>
      </c>
      <c r="J42">
        <f t="shared" si="8"/>
        <v>74.29120121039311</v>
      </c>
      <c r="K42">
        <f t="shared" si="14"/>
        <v>1.3467839970564115</v>
      </c>
      <c r="L42" s="9">
        <f t="shared" si="15"/>
        <v>-0.7908312342411662</v>
      </c>
      <c r="N42" s="8">
        <v>18000</v>
      </c>
      <c r="O42">
        <f t="shared" si="9"/>
        <v>453676.3854123527</v>
      </c>
      <c r="P42">
        <f t="shared" si="10"/>
        <v>480018.7880809813</v>
      </c>
      <c r="Q42">
        <f t="shared" si="11"/>
        <v>-26342.40266862861</v>
      </c>
      <c r="R42" s="1">
        <f t="shared" si="2"/>
        <v>30500</v>
      </c>
      <c r="S42">
        <f t="shared" si="16"/>
        <v>3366.9599926410283</v>
      </c>
      <c r="T42">
        <f t="shared" si="17"/>
        <v>-26820.042918458697</v>
      </c>
      <c r="U42">
        <f t="shared" si="18"/>
        <v>0</v>
      </c>
      <c r="V42">
        <f t="shared" si="12"/>
        <v>693922178.3561716</v>
      </c>
    </row>
    <row r="43" spans="1:22" ht="12.75">
      <c r="A43">
        <f t="shared" si="13"/>
        <v>140</v>
      </c>
      <c r="B43">
        <f t="shared" si="3"/>
        <v>2.443460952792061</v>
      </c>
      <c r="C43" s="1">
        <f t="shared" si="4"/>
        <v>0.8928268920673912</v>
      </c>
      <c r="D43" s="1">
        <f t="shared" si="5"/>
        <v>22.484092600230202</v>
      </c>
      <c r="E43">
        <f t="shared" si="6"/>
        <v>1.7323438750016236</v>
      </c>
      <c r="F43">
        <f t="shared" si="7"/>
        <v>185.67967731230894</v>
      </c>
      <c r="G43">
        <f t="shared" si="0"/>
        <v>0.5860723780664687</v>
      </c>
      <c r="H43">
        <f t="shared" si="1"/>
        <v>0.5594824734909398</v>
      </c>
      <c r="J43">
        <f t="shared" si="8"/>
        <v>76.34845895413369</v>
      </c>
      <c r="K43">
        <f t="shared" si="14"/>
        <v>1.234354646244347</v>
      </c>
      <c r="L43" s="9">
        <f t="shared" si="15"/>
        <v>-0.8094674518805308</v>
      </c>
      <c r="N43" s="8">
        <v>18000</v>
      </c>
      <c r="O43">
        <f t="shared" si="9"/>
        <v>413707.3038442357</v>
      </c>
      <c r="P43">
        <f t="shared" si="10"/>
        <v>436355.7776626701</v>
      </c>
      <c r="Q43">
        <f t="shared" si="11"/>
        <v>-22648.473818434402</v>
      </c>
      <c r="R43" s="1">
        <f t="shared" si="2"/>
        <v>30500</v>
      </c>
      <c r="S43">
        <f t="shared" si="16"/>
        <v>3085.8866156108675</v>
      </c>
      <c r="T43">
        <f t="shared" si="17"/>
        <v>-24495.438243531506</v>
      </c>
      <c r="U43">
        <f t="shared" si="18"/>
        <v>0</v>
      </c>
      <c r="V43">
        <f t="shared" si="12"/>
        <v>512953366.3043086</v>
      </c>
    </row>
    <row r="44" spans="1:22" ht="12.75">
      <c r="A44">
        <f t="shared" si="13"/>
        <v>145</v>
      </c>
      <c r="B44">
        <f t="shared" si="3"/>
        <v>2.5307274153917776</v>
      </c>
      <c r="C44" s="1">
        <f t="shared" si="4"/>
        <v>0.9146413452770811</v>
      </c>
      <c r="D44" s="1">
        <f t="shared" si="5"/>
        <v>20.25905418389648</v>
      </c>
      <c r="E44">
        <f t="shared" si="6"/>
        <v>1.7695467604441413</v>
      </c>
      <c r="F44">
        <f t="shared" si="7"/>
        <v>188.54736228364575</v>
      </c>
      <c r="G44">
        <f t="shared" si="0"/>
        <v>0.5716117340825225</v>
      </c>
      <c r="H44">
        <f t="shared" si="1"/>
        <v>0.49495825234979485</v>
      </c>
      <c r="J44">
        <f t="shared" si="8"/>
        <v>78.21388202806274</v>
      </c>
      <c r="K44">
        <f t="shared" si="14"/>
        <v>1.1192538443574307</v>
      </c>
      <c r="L44" s="9">
        <f t="shared" si="15"/>
        <v>-0.828701332346484</v>
      </c>
      <c r="N44" s="8">
        <v>17333</v>
      </c>
      <c r="O44">
        <f t="shared" si="9"/>
        <v>359253.8078430363</v>
      </c>
      <c r="P44">
        <f t="shared" si="10"/>
        <v>389371.8362975235</v>
      </c>
      <c r="Q44">
        <f t="shared" si="11"/>
        <v>-30118.028454487212</v>
      </c>
      <c r="R44" s="1">
        <f t="shared" si="2"/>
        <v>30500</v>
      </c>
      <c r="S44">
        <f t="shared" si="16"/>
        <v>2746.291394630632</v>
      </c>
      <c r="T44">
        <f t="shared" si="17"/>
        <v>-26383.251136460807</v>
      </c>
      <c r="U44">
        <f t="shared" si="18"/>
        <v>0</v>
      </c>
      <c r="V44">
        <f t="shared" si="12"/>
        <v>907095637.9853014</v>
      </c>
    </row>
    <row r="45" spans="1:22" ht="12.75">
      <c r="A45">
        <f t="shared" si="13"/>
        <v>150</v>
      </c>
      <c r="B45">
        <f t="shared" si="3"/>
        <v>2.6179938779914944</v>
      </c>
      <c r="C45" s="1">
        <f t="shared" si="4"/>
        <v>0.9341559047459191</v>
      </c>
      <c r="D45" s="1">
        <f t="shared" si="5"/>
        <v>17.975614069471096</v>
      </c>
      <c r="E45">
        <f t="shared" si="6"/>
        <v>1.8061132038356609</v>
      </c>
      <c r="F45">
        <f t="shared" si="7"/>
        <v>191.3037233753501</v>
      </c>
      <c r="G45">
        <f t="shared" si="0"/>
        <v>0.5586756731017658</v>
      </c>
      <c r="H45">
        <f t="shared" si="1"/>
        <v>0.4313221721608409</v>
      </c>
      <c r="J45">
        <f t="shared" si="8"/>
        <v>79.88263389458037</v>
      </c>
      <c r="K45">
        <f t="shared" si="14"/>
        <v>1.0012511199105747</v>
      </c>
      <c r="L45" s="9">
        <f t="shared" si="15"/>
        <v>-0.8495945585652767</v>
      </c>
      <c r="N45" s="8">
        <v>16667</v>
      </c>
      <c r="O45">
        <f t="shared" si="9"/>
        <v>306789.80532366317</v>
      </c>
      <c r="P45">
        <f t="shared" si="10"/>
        <v>339424.5401490101</v>
      </c>
      <c r="Q45">
        <f t="shared" si="11"/>
        <v>-32634.73482534691</v>
      </c>
      <c r="R45" s="1">
        <f t="shared" si="2"/>
        <v>30500</v>
      </c>
      <c r="S45">
        <f t="shared" si="16"/>
        <v>2364.065144233301</v>
      </c>
      <c r="T45">
        <f t="shared" si="17"/>
        <v>-31376.38163991706</v>
      </c>
      <c r="U45">
        <f t="shared" si="18"/>
        <v>0</v>
      </c>
      <c r="V45">
        <f t="shared" si="12"/>
        <v>1065025917.1207104</v>
      </c>
    </row>
    <row r="46" spans="1:22" ht="12.75">
      <c r="A46">
        <f t="shared" si="13"/>
        <v>155</v>
      </c>
      <c r="B46">
        <f t="shared" si="3"/>
        <v>2.705260340591211</v>
      </c>
      <c r="C46" s="1">
        <f t="shared" si="4"/>
        <v>0.9513073049397358</v>
      </c>
      <c r="D46" s="1">
        <f t="shared" si="5"/>
        <v>15.626336542077684</v>
      </c>
      <c r="E46">
        <f t="shared" si="6"/>
        <v>1.8417951275121895</v>
      </c>
      <c r="F46">
        <f t="shared" si="7"/>
        <v>193.93296386294944</v>
      </c>
      <c r="G46">
        <f t="shared" si="0"/>
        <v>0.547306133391332</v>
      </c>
      <c r="H46">
        <f t="shared" si="1"/>
        <v>0.36836809352721955</v>
      </c>
      <c r="J46">
        <f t="shared" si="8"/>
        <v>81.34930451722632</v>
      </c>
      <c r="K46">
        <f t="shared" si="14"/>
        <v>0.8800023735875698</v>
      </c>
      <c r="L46" s="9">
        <f t="shared" si="15"/>
        <v>-0.8729652267925381</v>
      </c>
      <c r="N46" s="8">
        <v>16000</v>
      </c>
      <c r="O46">
        <f t="shared" si="9"/>
        <v>256271.91929007403</v>
      </c>
      <c r="P46">
        <f t="shared" si="10"/>
        <v>286894.0182998219</v>
      </c>
      <c r="Q46">
        <f t="shared" si="11"/>
        <v>-30622.09900974785</v>
      </c>
      <c r="R46" s="1">
        <f t="shared" si="2"/>
        <v>30500</v>
      </c>
      <c r="S46">
        <f t="shared" si="16"/>
        <v>1996.3220512489681</v>
      </c>
      <c r="T46">
        <f t="shared" si="17"/>
        <v>-31628.41691754738</v>
      </c>
      <c r="U46">
        <f t="shared" si="18"/>
        <v>0</v>
      </c>
      <c r="V46">
        <f t="shared" si="12"/>
        <v>937712947.7628002</v>
      </c>
    </row>
    <row r="47" spans="1:22" ht="12.75">
      <c r="A47">
        <f t="shared" si="13"/>
        <v>160</v>
      </c>
      <c r="B47">
        <f t="shared" si="3"/>
        <v>2.792526803190927</v>
      </c>
      <c r="C47" s="1">
        <f t="shared" si="4"/>
        <v>0.9660240472637284</v>
      </c>
      <c r="D47" s="1">
        <f t="shared" si="5"/>
        <v>13.20264298829377</v>
      </c>
      <c r="E47">
        <f t="shared" si="6"/>
        <v>1.8763381611859768</v>
      </c>
      <c r="F47">
        <f t="shared" si="7"/>
        <v>196.42056634352102</v>
      </c>
      <c r="G47">
        <f aca="true" t="shared" si="19" ref="G47:G78">ACOS(($C$5^2+F47^2-$C$4^2)/(2*$C$5*F47))-ASIN($C$8*SIN(B47-$C$10)/F47)</f>
        <v>0.5375505108549763</v>
      </c>
      <c r="H47">
        <f aca="true" t="shared" si="20" ref="H47:H78">E47+G47-(B47-$C$10)</f>
        <v>0.3058890420649347</v>
      </c>
      <c r="J47">
        <f t="shared" si="8"/>
        <v>82.60777982441621</v>
      </c>
      <c r="K47">
        <f t="shared" si="14"/>
        <v>0.7550851843139385</v>
      </c>
      <c r="L47" s="9">
        <f t="shared" si="15"/>
        <v>-0.8993772370564461</v>
      </c>
      <c r="N47" s="8">
        <v>16000</v>
      </c>
      <c r="O47">
        <f t="shared" si="9"/>
        <v>216523.34500801782</v>
      </c>
      <c r="P47">
        <f t="shared" si="10"/>
        <v>232180.05974002738</v>
      </c>
      <c r="Q47">
        <f t="shared" si="11"/>
        <v>-15656.714732009568</v>
      </c>
      <c r="R47" s="1">
        <f t="shared" si="2"/>
        <v>30500</v>
      </c>
      <c r="S47">
        <f t="shared" si="16"/>
        <v>1677.9670762531962</v>
      </c>
      <c r="T47">
        <f t="shared" si="17"/>
        <v>-23139.40687087871</v>
      </c>
      <c r="U47">
        <f t="shared" si="18"/>
        <v>0</v>
      </c>
      <c r="V47">
        <f t="shared" si="12"/>
        <v>245132716.19952545</v>
      </c>
    </row>
    <row r="48" spans="1:22" ht="12.75">
      <c r="A48">
        <f t="shared" si="13"/>
        <v>165</v>
      </c>
      <c r="B48">
        <f t="shared" si="3"/>
        <v>2.8797932657906435</v>
      </c>
      <c r="C48" s="1">
        <f t="shared" si="4"/>
        <v>0.978225617065668</v>
      </c>
      <c r="D48" s="1">
        <f t="shared" si="5"/>
        <v>10.695576750835334</v>
      </c>
      <c r="E48">
        <f t="shared" si="6"/>
        <v>1.909481480922703</v>
      </c>
      <c r="F48">
        <f t="shared" si="7"/>
        <v>198.7532580188407</v>
      </c>
      <c r="G48">
        <f t="shared" si="19"/>
        <v>0.529462178076012</v>
      </c>
      <c r="H48">
        <f t="shared" si="20"/>
        <v>0.24367756642298044</v>
      </c>
      <c r="J48">
        <f t="shared" si="8"/>
        <v>83.6511747529026</v>
      </c>
      <c r="K48">
        <f t="shared" si="14"/>
        <v>0.6260369570918356</v>
      </c>
      <c r="L48" s="9">
        <f t="shared" si="15"/>
        <v>-0.9291198330744616</v>
      </c>
      <c r="N48" s="8">
        <v>16000</v>
      </c>
      <c r="O48">
        <f t="shared" si="9"/>
        <v>175407.45871369948</v>
      </c>
      <c r="P48">
        <f t="shared" si="10"/>
        <v>175699.07073145823</v>
      </c>
      <c r="Q48">
        <f t="shared" si="11"/>
        <v>-291.6120177587436</v>
      </c>
      <c r="R48" s="1">
        <f t="shared" si="2"/>
        <v>30500</v>
      </c>
      <c r="S48">
        <f t="shared" si="16"/>
        <v>1391.1932379818572</v>
      </c>
      <c r="T48">
        <f t="shared" si="17"/>
        <v>-7974.163374884156</v>
      </c>
      <c r="U48">
        <f t="shared" si="18"/>
        <v>0</v>
      </c>
      <c r="V48">
        <f t="shared" si="12"/>
        <v>85037.5689013258</v>
      </c>
    </row>
    <row r="49" spans="1:22" ht="12.75">
      <c r="A49">
        <f t="shared" si="13"/>
        <v>170</v>
      </c>
      <c r="B49">
        <f t="shared" si="3"/>
        <v>2.9670597283903604</v>
      </c>
      <c r="C49" s="1">
        <f t="shared" si="4"/>
        <v>0.9878225267659748</v>
      </c>
      <c r="D49" s="1">
        <f t="shared" si="5"/>
        <v>8.096660921301257</v>
      </c>
      <c r="E49">
        <f t="shared" si="6"/>
        <v>1.940958331711074</v>
      </c>
      <c r="F49">
        <f t="shared" si="7"/>
        <v>200.91897607495366</v>
      </c>
      <c r="G49">
        <f t="shared" si="19"/>
        <v>0.523100455726695</v>
      </c>
      <c r="H49">
        <f t="shared" si="20"/>
        <v>0.18152623226231723</v>
      </c>
      <c r="J49">
        <f t="shared" si="8"/>
        <v>84.4718369359645</v>
      </c>
      <c r="K49">
        <f t="shared" si="14"/>
        <v>0.4923973098371391</v>
      </c>
      <c r="L49" s="9">
        <f t="shared" si="15"/>
        <v>-0.9621770823376802</v>
      </c>
      <c r="N49" s="8">
        <v>16000</v>
      </c>
      <c r="O49">
        <f t="shared" si="9"/>
        <v>132785.23910934062</v>
      </c>
      <c r="P49">
        <f t="shared" si="10"/>
        <v>117880.90570462284</v>
      </c>
      <c r="Q49">
        <f t="shared" si="11"/>
        <v>14904.333404717778</v>
      </c>
      <c r="R49" s="1">
        <f t="shared" si="2"/>
        <v>30500</v>
      </c>
      <c r="S49">
        <f t="shared" si="16"/>
        <v>1094.2162440825314</v>
      </c>
      <c r="T49">
        <f t="shared" si="17"/>
        <v>0</v>
      </c>
      <c r="U49">
        <f t="shared" si="18"/>
        <v>7306.360693479517</v>
      </c>
      <c r="V49">
        <f t="shared" si="12"/>
        <v>222139154.23898622</v>
      </c>
    </row>
    <row r="50" spans="1:22" ht="12.75">
      <c r="A50">
        <f t="shared" si="13"/>
        <v>175</v>
      </c>
      <c r="B50">
        <f t="shared" si="3"/>
        <v>3.0543261909900763</v>
      </c>
      <c r="C50" s="1">
        <f t="shared" si="4"/>
        <v>0.9947172888684881</v>
      </c>
      <c r="D50" s="1">
        <f t="shared" si="5"/>
        <v>5.3988641908154715</v>
      </c>
      <c r="E50">
        <f t="shared" si="6"/>
        <v>1.970497431353701</v>
      </c>
      <c r="F50">
        <f t="shared" si="7"/>
        <v>202.90683437961377</v>
      </c>
      <c r="G50">
        <f t="shared" si="19"/>
        <v>0.5185299675663884</v>
      </c>
      <c r="H50">
        <f t="shared" si="20"/>
        <v>0.11922838114492151</v>
      </c>
      <c r="J50">
        <f t="shared" si="8"/>
        <v>85.06142990864406</v>
      </c>
      <c r="K50">
        <f t="shared" si="14"/>
        <v>0.35375578360773263</v>
      </c>
      <c r="L50" s="9">
        <f t="shared" si="15"/>
        <v>-0.9981895488246779</v>
      </c>
      <c r="N50" s="8">
        <v>16000</v>
      </c>
      <c r="O50">
        <f t="shared" si="9"/>
        <v>88541.37272937373</v>
      </c>
      <c r="P50">
        <f t="shared" si="10"/>
        <v>59165.59580693862</v>
      </c>
      <c r="Q50">
        <f t="shared" si="11"/>
        <v>29375.776922435114</v>
      </c>
      <c r="R50" s="1">
        <f t="shared" si="2"/>
        <v>30500</v>
      </c>
      <c r="S50">
        <f t="shared" si="16"/>
        <v>786.1239635727392</v>
      </c>
      <c r="T50">
        <f t="shared" si="17"/>
        <v>0</v>
      </c>
      <c r="U50">
        <f t="shared" si="18"/>
        <v>22140.055163576446</v>
      </c>
      <c r="V50">
        <f t="shared" si="12"/>
        <v>862936269.7966714</v>
      </c>
    </row>
    <row r="51" spans="1:22" ht="12.75">
      <c r="A51">
        <f t="shared" si="13"/>
        <v>180</v>
      </c>
      <c r="B51">
        <f t="shared" si="3"/>
        <v>3.141592653589793</v>
      </c>
      <c r="C51" s="1">
        <f t="shared" si="4"/>
        <v>0.9988064292349593</v>
      </c>
      <c r="D51" s="1">
        <f t="shared" si="5"/>
        <v>2.597670997775883</v>
      </c>
      <c r="E51">
        <f t="shared" si="6"/>
        <v>1.9978254489190874</v>
      </c>
      <c r="F51">
        <f t="shared" si="7"/>
        <v>204.70709231782766</v>
      </c>
      <c r="G51">
        <f t="shared" si="19"/>
        <v>0.5158193058563961</v>
      </c>
      <c r="H51">
        <f t="shared" si="20"/>
        <v>0.05657927440059929</v>
      </c>
      <c r="J51">
        <f t="shared" si="8"/>
        <v>85.41110526923305</v>
      </c>
      <c r="K51">
        <f t="shared" si="14"/>
        <v>0.20980521635339355</v>
      </c>
      <c r="L51" s="9">
        <f t="shared" si="15"/>
        <v>-1.0364135168485074</v>
      </c>
      <c r="N51" s="8">
        <v>16000</v>
      </c>
      <c r="O51">
        <f t="shared" si="9"/>
        <v>42601.80436352448</v>
      </c>
      <c r="P51">
        <f t="shared" si="10"/>
        <v>8.316909018432572E-11</v>
      </c>
      <c r="Q51">
        <f t="shared" si="11"/>
        <v>42601.8043635244</v>
      </c>
      <c r="R51" s="1">
        <f t="shared" si="2"/>
        <v>30500</v>
      </c>
      <c r="S51">
        <f t="shared" si="16"/>
        <v>466.2338141186524</v>
      </c>
      <c r="T51">
        <f t="shared" si="17"/>
        <v>0</v>
      </c>
      <c r="U51">
        <f t="shared" si="18"/>
        <v>35988.79064297976</v>
      </c>
      <c r="V51">
        <f t="shared" si="12"/>
        <v>1814913735.0280068</v>
      </c>
    </row>
    <row r="52" spans="1:22" ht="12.75">
      <c r="A52">
        <f t="shared" si="13"/>
        <v>185</v>
      </c>
      <c r="B52">
        <f t="shared" si="3"/>
        <v>3.2288591161895095</v>
      </c>
      <c r="C52" s="1">
        <f t="shared" si="4"/>
        <v>0.9999836332694534</v>
      </c>
      <c r="D52" s="1">
        <f t="shared" si="5"/>
        <v>-0.3077766871238451</v>
      </c>
      <c r="E52">
        <f t="shared" si="6"/>
        <v>2.0226707178895382</v>
      </c>
      <c r="F52">
        <f t="shared" si="7"/>
        <v>206.31112628754317</v>
      </c>
      <c r="G52">
        <f t="shared" si="19"/>
        <v>0.5150389457769731</v>
      </c>
      <c r="H52">
        <f t="shared" si="20"/>
        <v>-0.0066222793080892295</v>
      </c>
      <c r="J52">
        <f t="shared" si="8"/>
        <v>85.51177171947863</v>
      </c>
      <c r="K52">
        <f t="shared" si="14"/>
        <v>0.06039987014735004</v>
      </c>
      <c r="L52" s="9">
        <f t="shared" si="15"/>
        <v>-1.0756867669981875</v>
      </c>
      <c r="N52" s="8">
        <v>17000</v>
      </c>
      <c r="O52">
        <f t="shared" si="9"/>
        <v>-5355.314355954904</v>
      </c>
      <c r="P52">
        <f t="shared" si="10"/>
        <v>-59165.59580693844</v>
      </c>
      <c r="Q52">
        <f t="shared" si="11"/>
        <v>53810.28145098354</v>
      </c>
      <c r="R52" s="1">
        <f t="shared" si="2"/>
        <v>-847879.4066780808</v>
      </c>
      <c r="S52">
        <f t="shared" si="16"/>
        <v>138.41636908767717</v>
      </c>
      <c r="T52">
        <f t="shared" si="17"/>
        <v>0</v>
      </c>
      <c r="U52">
        <f t="shared" si="18"/>
        <v>48206.04290725397</v>
      </c>
      <c r="V52">
        <f t="shared" si="12"/>
        <v>2895546389.834063</v>
      </c>
    </row>
    <row r="53" spans="1:22" ht="12.75">
      <c r="A53">
        <f t="shared" si="13"/>
        <v>190</v>
      </c>
      <c r="B53">
        <f t="shared" si="3"/>
        <v>3.3161255787892263</v>
      </c>
      <c r="C53" s="1">
        <f t="shared" si="4"/>
        <v>0.9981440656943715</v>
      </c>
      <c r="D53" s="1">
        <f t="shared" si="5"/>
        <v>-3.3135363151366666</v>
      </c>
      <c r="E53">
        <f t="shared" si="6"/>
        <v>2.0447682705635177</v>
      </c>
      <c r="F53">
        <f t="shared" si="7"/>
        <v>207.71140416172634</v>
      </c>
      <c r="G53">
        <f t="shared" si="19"/>
        <v>0.516258381878899</v>
      </c>
      <c r="H53">
        <f t="shared" si="20"/>
        <v>-0.070571753131901</v>
      </c>
      <c r="J53">
        <f t="shared" si="8"/>
        <v>85.35446446233017</v>
      </c>
      <c r="K53">
        <f t="shared" si="14"/>
        <v>-0.0943843542890761</v>
      </c>
      <c r="L53" s="9">
        <f t="shared" si="15"/>
        <v>-1.1144135480715833</v>
      </c>
      <c r="N53" s="8">
        <v>16000</v>
      </c>
      <c r="O53">
        <f t="shared" si="9"/>
        <v>-54341.995568241335</v>
      </c>
      <c r="P53">
        <f t="shared" si="10"/>
        <v>-117880.90570462297</v>
      </c>
      <c r="Q53">
        <f t="shared" si="11"/>
        <v>63538.91013638164</v>
      </c>
      <c r="R53" s="1">
        <f t="shared" si="2"/>
        <v>-61398.00185441475</v>
      </c>
      <c r="S53">
        <f t="shared" si="16"/>
        <v>-216.29747857913273</v>
      </c>
      <c r="T53">
        <f t="shared" si="17"/>
        <v>0</v>
      </c>
      <c r="U53">
        <f t="shared" si="18"/>
        <v>58674.59579368259</v>
      </c>
      <c r="V53">
        <f t="shared" si="12"/>
        <v>4037193101.319181</v>
      </c>
    </row>
    <row r="54" spans="1:22" ht="12.75">
      <c r="A54">
        <f t="shared" si="13"/>
        <v>195</v>
      </c>
      <c r="B54">
        <f t="shared" si="3"/>
        <v>3.4033920413889422</v>
      </c>
      <c r="C54" s="1">
        <f t="shared" si="4"/>
        <v>0.9931898115471789</v>
      </c>
      <c r="D54" s="1">
        <f t="shared" si="5"/>
        <v>-6.409832430704971</v>
      </c>
      <c r="E54">
        <f t="shared" si="6"/>
        <v>2.063866157874991</v>
      </c>
      <c r="F54">
        <f t="shared" si="7"/>
        <v>208.90146287190657</v>
      </c>
      <c r="G54">
        <f t="shared" si="19"/>
        <v>0.5195425212859193</v>
      </c>
      <c r="H54">
        <f t="shared" si="20"/>
        <v>-0.1354561890131234</v>
      </c>
      <c r="J54">
        <f t="shared" si="8"/>
        <v>84.93081047882457</v>
      </c>
      <c r="K54">
        <f t="shared" si="14"/>
        <v>-0.25419239010336125</v>
      </c>
      <c r="L54" s="9">
        <f t="shared" si="15"/>
        <v>-1.1505839232039894</v>
      </c>
      <c r="N54" s="8">
        <v>16000</v>
      </c>
      <c r="O54">
        <f t="shared" si="9"/>
        <v>-105121.25186356153</v>
      </c>
      <c r="P54">
        <f t="shared" si="10"/>
        <v>-175699.07073145808</v>
      </c>
      <c r="Q54">
        <f t="shared" si="11"/>
        <v>70577.81886789655</v>
      </c>
      <c r="R54" s="1">
        <f t="shared" si="2"/>
        <v>-22912.433956510045</v>
      </c>
      <c r="S54">
        <f t="shared" si="16"/>
        <v>-564.8719780074695</v>
      </c>
      <c r="T54">
        <f t="shared" si="17"/>
        <v>0</v>
      </c>
      <c r="U54">
        <f t="shared" si="18"/>
        <v>67058.3645021391</v>
      </c>
      <c r="V54">
        <f t="shared" si="12"/>
        <v>4981228516.149614</v>
      </c>
    </row>
    <row r="55" spans="1:22" ht="12.75">
      <c r="A55">
        <f t="shared" si="13"/>
        <v>200</v>
      </c>
      <c r="B55">
        <f t="shared" si="3"/>
        <v>3.490658503988659</v>
      </c>
      <c r="C55" s="1">
        <f t="shared" si="4"/>
        <v>0.9850362524719237</v>
      </c>
      <c r="D55" s="1">
        <f t="shared" si="5"/>
        <v>-9.580282785556024</v>
      </c>
      <c r="E55">
        <f t="shared" si="6"/>
        <v>2.079732848251584</v>
      </c>
      <c r="F55">
        <f t="shared" si="7"/>
        <v>209.87588916697177</v>
      </c>
      <c r="G55">
        <f t="shared" si="19"/>
        <v>0.5249474568970014</v>
      </c>
      <c r="H55">
        <f t="shared" si="20"/>
        <v>-0.2014510256251647</v>
      </c>
      <c r="J55">
        <f t="shared" si="8"/>
        <v>84.23357378499497</v>
      </c>
      <c r="K55">
        <f t="shared" si="14"/>
        <v>-0.4183420162977569</v>
      </c>
      <c r="L55" s="9">
        <f t="shared" si="15"/>
        <v>-1.1818424520197461</v>
      </c>
      <c r="N55" s="8">
        <v>16000</v>
      </c>
      <c r="O55">
        <f t="shared" si="9"/>
        <v>-157116.6376831188</v>
      </c>
      <c r="P55">
        <f t="shared" si="10"/>
        <v>-232180.05974002724</v>
      </c>
      <c r="Q55">
        <f t="shared" si="11"/>
        <v>75063.42205690843</v>
      </c>
      <c r="R55" s="1">
        <f t="shared" si="2"/>
        <v>-9566.737791119996</v>
      </c>
      <c r="S55">
        <f t="shared" si="16"/>
        <v>-929.6489251061265</v>
      </c>
      <c r="T55">
        <f t="shared" si="17"/>
        <v>0</v>
      </c>
      <c r="U55">
        <f t="shared" si="18"/>
        <v>72820.6204624025</v>
      </c>
      <c r="V55">
        <f t="shared" si="12"/>
        <v>5634517330.893567</v>
      </c>
    </row>
    <row r="56" spans="1:22" ht="12.75">
      <c r="A56">
        <f t="shared" si="13"/>
        <v>205</v>
      </c>
      <c r="B56">
        <f t="shared" si="3"/>
        <v>3.5779249665883754</v>
      </c>
      <c r="C56" s="1">
        <f t="shared" si="4"/>
        <v>0.9736190311361574</v>
      </c>
      <c r="D56" s="1">
        <f t="shared" si="5"/>
        <v>-12.80154660510961</v>
      </c>
      <c r="E56">
        <f t="shared" si="6"/>
        <v>2.0921652960435955</v>
      </c>
      <c r="F56">
        <f t="shared" si="7"/>
        <v>210.63030353757597</v>
      </c>
      <c r="G56">
        <f t="shared" si="19"/>
        <v>0.532515850724498</v>
      </c>
      <c r="H56">
        <f t="shared" si="20"/>
        <v>-0.2687166466053732</v>
      </c>
      <c r="J56">
        <f t="shared" si="8"/>
        <v>83.2572509812479</v>
      </c>
      <c r="K56">
        <f t="shared" si="14"/>
        <v>-0.5857936822482401</v>
      </c>
      <c r="L56" s="9">
        <f t="shared" si="15"/>
        <v>-1.2056164370873739</v>
      </c>
      <c r="N56" s="8">
        <v>16000</v>
      </c>
      <c r="O56">
        <f t="shared" si="9"/>
        <v>-209945.3643237976</v>
      </c>
      <c r="P56">
        <f t="shared" si="10"/>
        <v>-286894.0182998217</v>
      </c>
      <c r="Q56">
        <f t="shared" si="11"/>
        <v>76948.6539760241</v>
      </c>
      <c r="R56" s="1">
        <f t="shared" si="2"/>
        <v>-2986.0923466047743</v>
      </c>
      <c r="S56">
        <f t="shared" si="16"/>
        <v>-1301.7637383294225</v>
      </c>
      <c r="T56">
        <f t="shared" si="17"/>
        <v>0</v>
      </c>
      <c r="U56">
        <f t="shared" si="18"/>
        <v>76006.03801646626</v>
      </c>
      <c r="V56">
        <f t="shared" si="12"/>
        <v>5921095348.7218895</v>
      </c>
    </row>
    <row r="57" spans="1:22" ht="12.75">
      <c r="A57">
        <f t="shared" si="13"/>
        <v>210</v>
      </c>
      <c r="B57">
        <f t="shared" si="3"/>
        <v>3.6651914291880923</v>
      </c>
      <c r="C57" s="1">
        <f t="shared" si="4"/>
        <v>0.9589010954709454</v>
      </c>
      <c r="D57" s="1">
        <f t="shared" si="5"/>
        <v>-16.043540326589362</v>
      </c>
      <c r="E57">
        <f t="shared" si="6"/>
        <v>2.1009970683291845</v>
      </c>
      <c r="F57">
        <f t="shared" si="7"/>
        <v>211.16134726145427</v>
      </c>
      <c r="G57">
        <f t="shared" si="19"/>
        <v>0.542272264318157</v>
      </c>
      <c r="H57">
        <f t="shared" si="20"/>
        <v>-0.33739492332584176</v>
      </c>
      <c r="J57">
        <f t="shared" si="8"/>
        <v>81.9986736276659</v>
      </c>
      <c r="K57">
        <f t="shared" si="14"/>
        <v>-0.7551464121492075</v>
      </c>
      <c r="L57" s="9">
        <f t="shared" si="15"/>
        <v>-1.2193036938467938</v>
      </c>
      <c r="N57" s="8">
        <v>16000</v>
      </c>
      <c r="O57">
        <f t="shared" si="9"/>
        <v>-263114.06135606556</v>
      </c>
      <c r="P57">
        <f t="shared" si="10"/>
        <v>-339424.5401490102</v>
      </c>
      <c r="Q57">
        <f t="shared" si="11"/>
        <v>76310.47879294463</v>
      </c>
      <c r="R57" s="1">
        <f t="shared" si="2"/>
        <v>810.7390110658691</v>
      </c>
      <c r="S57">
        <f t="shared" si="16"/>
        <v>-1678.1031381093499</v>
      </c>
      <c r="T57">
        <f t="shared" si="17"/>
        <v>0</v>
      </c>
      <c r="U57">
        <f t="shared" si="18"/>
        <v>76629.56638448437</v>
      </c>
      <c r="V57">
        <f t="shared" si="12"/>
        <v>5823289173.608453</v>
      </c>
    </row>
    <row r="58" spans="1:22" ht="12.75">
      <c r="A58">
        <f t="shared" si="13"/>
        <v>215</v>
      </c>
      <c r="B58">
        <f t="shared" si="3"/>
        <v>3.752457891787808</v>
      </c>
      <c r="C58" s="1">
        <f t="shared" si="4"/>
        <v>0.9408791938465666</v>
      </c>
      <c r="D58" s="1">
        <f t="shared" si="5"/>
        <v>-19.27030443768329</v>
      </c>
      <c r="E58">
        <f t="shared" si="6"/>
        <v>2.1061057679017594</v>
      </c>
      <c r="F58">
        <f t="shared" si="7"/>
        <v>211.46667251071855</v>
      </c>
      <c r="G58">
        <f t="shared" si="19"/>
        <v>0.5542188531599108</v>
      </c>
      <c r="H58">
        <f t="shared" si="20"/>
        <v>-0.4076060975112292</v>
      </c>
      <c r="J58">
        <f t="shared" si="8"/>
        <v>80.45756366707965</v>
      </c>
      <c r="K58">
        <f t="shared" si="14"/>
        <v>-0.9246659763517443</v>
      </c>
      <c r="L58" s="9">
        <f t="shared" si="15"/>
        <v>-1.220504865391445</v>
      </c>
      <c r="N58" s="8">
        <v>16000</v>
      </c>
      <c r="O58">
        <f t="shared" si="9"/>
        <v>-316032.99277800595</v>
      </c>
      <c r="P58">
        <f t="shared" si="10"/>
        <v>-389371.83629752364</v>
      </c>
      <c r="Q58">
        <f t="shared" si="11"/>
        <v>73338.84351951769</v>
      </c>
      <c r="R58" s="1">
        <f t="shared" si="2"/>
        <v>3199.9346311242625</v>
      </c>
      <c r="S58">
        <f t="shared" si="16"/>
        <v>-2054.813280781654</v>
      </c>
      <c r="T58">
        <f t="shared" si="17"/>
        <v>0</v>
      </c>
      <c r="U58">
        <f t="shared" si="18"/>
        <v>74824.66115623116</v>
      </c>
      <c r="V58">
        <f t="shared" si="12"/>
        <v>5378585968.780301</v>
      </c>
    </row>
    <row r="59" spans="1:22" ht="12.75">
      <c r="A59">
        <f t="shared" si="13"/>
        <v>220</v>
      </c>
      <c r="B59">
        <f t="shared" si="3"/>
        <v>3.839724354387525</v>
      </c>
      <c r="C59" s="1">
        <f t="shared" si="4"/>
        <v>0.9195891557861426</v>
      </c>
      <c r="D59" s="1">
        <f t="shared" si="5"/>
        <v>-22.441503984540635</v>
      </c>
      <c r="E59">
        <f t="shared" si="6"/>
        <v>2.1074189431074837</v>
      </c>
      <c r="F59">
        <f t="shared" si="7"/>
        <v>211.5449354629716</v>
      </c>
      <c r="G59">
        <f t="shared" si="19"/>
        <v>0.5683318661168297</v>
      </c>
      <c r="H59">
        <f t="shared" si="20"/>
        <v>-0.4794463719483031</v>
      </c>
      <c r="J59">
        <f t="shared" si="8"/>
        <v>78.63698499563712</v>
      </c>
      <c r="K59">
        <f t="shared" si="14"/>
        <v>-1.0923472028655197</v>
      </c>
      <c r="L59" s="9">
        <f t="shared" si="15"/>
        <v>-1.2072692243967151</v>
      </c>
      <c r="N59" s="8">
        <v>15000</v>
      </c>
      <c r="O59">
        <f t="shared" si="9"/>
        <v>-345599.16136192577</v>
      </c>
      <c r="P59">
        <f t="shared" si="10"/>
        <v>-436355.77766267</v>
      </c>
      <c r="Q59">
        <f t="shared" si="11"/>
        <v>90756.61630074424</v>
      </c>
      <c r="R59" s="1">
        <f t="shared" si="2"/>
        <v>4784.847581642677</v>
      </c>
      <c r="S59">
        <f t="shared" si="16"/>
        <v>-2351.580783946605</v>
      </c>
      <c r="T59">
        <f t="shared" si="17"/>
        <v>0</v>
      </c>
      <c r="U59">
        <f t="shared" si="18"/>
        <v>82047.72991013096</v>
      </c>
      <c r="V59">
        <f t="shared" si="12"/>
        <v>8236763402.360515</v>
      </c>
    </row>
    <row r="60" spans="1:22" ht="12.75">
      <c r="A60">
        <f t="shared" si="13"/>
        <v>225</v>
      </c>
      <c r="B60">
        <f t="shared" si="3"/>
        <v>3.9269908169872414</v>
      </c>
      <c r="C60" s="1">
        <f t="shared" si="4"/>
        <v>0.8951093714711797</v>
      </c>
      <c r="D60" s="1">
        <f t="shared" si="5"/>
        <v>-25.514425422348737</v>
      </c>
      <c r="E60">
        <f t="shared" si="6"/>
        <v>2.1049177698291603</v>
      </c>
      <c r="F60">
        <f t="shared" si="7"/>
        <v>211.39579236921855</v>
      </c>
      <c r="G60">
        <f t="shared" si="19"/>
        <v>0.5845593389019476</v>
      </c>
      <c r="H60">
        <f t="shared" si="20"/>
        <v>-0.5529865350412249</v>
      </c>
      <c r="J60">
        <f t="shared" si="8"/>
        <v>76.54364100635692</v>
      </c>
      <c r="K60">
        <f t="shared" si="14"/>
        <v>-1.25600639356812</v>
      </c>
      <c r="L60" s="9">
        <f t="shared" si="15"/>
        <v>-1.1783114206210306</v>
      </c>
      <c r="N60" s="8">
        <v>14000</v>
      </c>
      <c r="O60">
        <f t="shared" si="9"/>
        <v>-367407.72608182183</v>
      </c>
      <c r="P60">
        <f t="shared" si="10"/>
        <v>-480018.78808098123</v>
      </c>
      <c r="Q60">
        <f t="shared" si="11"/>
        <v>112611.0619991594</v>
      </c>
      <c r="R60" s="1">
        <f t="shared" si="2"/>
        <v>5871.698673677232</v>
      </c>
      <c r="S60">
        <f t="shared" si="16"/>
        <v>-2529.4573203802415</v>
      </c>
      <c r="T60">
        <f t="shared" si="17"/>
        <v>0</v>
      </c>
      <c r="U60">
        <f t="shared" si="18"/>
        <v>101683.83914995182</v>
      </c>
      <c r="V60">
        <f t="shared" si="12"/>
        <v>12681251284.578522</v>
      </c>
    </row>
    <row r="61" spans="1:22" ht="12.75">
      <c r="A61">
        <f t="shared" si="13"/>
        <v>230</v>
      </c>
      <c r="B61">
        <f t="shared" si="3"/>
        <v>4.014257279586958</v>
      </c>
      <c r="C61" s="1">
        <f t="shared" si="4"/>
        <v>0.8675620800238361</v>
      </c>
      <c r="D61" s="1">
        <f t="shared" si="5"/>
        <v>-28.44622703739774</v>
      </c>
      <c r="E61">
        <f t="shared" si="6"/>
        <v>2.0986380307441763</v>
      </c>
      <c r="F61">
        <f t="shared" si="7"/>
        <v>211.01989854938964</v>
      </c>
      <c r="G61">
        <f t="shared" si="19"/>
        <v>0.6028202400812215</v>
      </c>
      <c r="H61">
        <f t="shared" si="20"/>
        <v>-0.6282718355466512</v>
      </c>
      <c r="J61">
        <f t="shared" si="8"/>
        <v>74.18798475423058</v>
      </c>
      <c r="K61">
        <f t="shared" si="14"/>
        <v>-1.4133937512758026</v>
      </c>
      <c r="L61" s="9">
        <f t="shared" si="15"/>
        <v>-1.1331555548586925</v>
      </c>
      <c r="N61" s="8">
        <v>14000</v>
      </c>
      <c r="O61">
        <f t="shared" si="9"/>
        <v>-409625.6693385275</v>
      </c>
      <c r="P61">
        <f t="shared" si="10"/>
        <v>-520028.56567872723</v>
      </c>
      <c r="Q61">
        <f t="shared" si="11"/>
        <v>110402.89634019975</v>
      </c>
      <c r="R61" s="1">
        <f t="shared" si="2"/>
        <v>6631.813583423675</v>
      </c>
      <c r="S61">
        <f t="shared" si="16"/>
        <v>-2748.265627480727</v>
      </c>
      <c r="T61">
        <f t="shared" si="17"/>
        <v>0</v>
      </c>
      <c r="U61">
        <f t="shared" si="18"/>
        <v>111506.97916967957</v>
      </c>
      <c r="V61">
        <f t="shared" si="12"/>
        <v>12188799520.30489</v>
      </c>
    </row>
    <row r="62" spans="1:22" ht="12.75">
      <c r="A62">
        <f t="shared" si="13"/>
        <v>235</v>
      </c>
      <c r="B62">
        <f t="shared" si="3"/>
        <v>4.101523742186674</v>
      </c>
      <c r="C62" s="1">
        <f t="shared" si="4"/>
        <v>0.8371123586470653</v>
      </c>
      <c r="D62" s="1">
        <f t="shared" si="5"/>
        <v>-31.196143233935096</v>
      </c>
      <c r="E62">
        <f t="shared" si="6"/>
        <v>2.088668261869373</v>
      </c>
      <c r="F62">
        <f t="shared" si="7"/>
        <v>210.41891030774786</v>
      </c>
      <c r="G62">
        <f t="shared" si="19"/>
        <v>0.6230051411652535</v>
      </c>
      <c r="H62">
        <f t="shared" si="20"/>
        <v>-0.7053231659371391</v>
      </c>
      <c r="J62">
        <f t="shared" si="8"/>
        <v>71.58413251439045</v>
      </c>
      <c r="K62">
        <f t="shared" si="14"/>
        <v>-1.5623113439040823</v>
      </c>
      <c r="L62" s="9">
        <f t="shared" si="15"/>
        <v>-1.072175044810998</v>
      </c>
      <c r="N62" s="8">
        <v>14000</v>
      </c>
      <c r="O62">
        <f t="shared" si="9"/>
        <v>-449224.4625686654</v>
      </c>
      <c r="P62">
        <f t="shared" si="10"/>
        <v>-556080.6118898251</v>
      </c>
      <c r="Q62">
        <f t="shared" si="11"/>
        <v>106856.1493211597</v>
      </c>
      <c r="R62" s="1">
        <f t="shared" si="2"/>
        <v>7167.621744761613</v>
      </c>
      <c r="S62">
        <f t="shared" si="16"/>
        <v>-3037.8276131468265</v>
      </c>
      <c r="T62">
        <f t="shared" si="17"/>
        <v>0</v>
      </c>
      <c r="U62">
        <f t="shared" si="18"/>
        <v>108629.52283067972</v>
      </c>
      <c r="V62">
        <f t="shared" si="12"/>
        <v>11418236647.745977</v>
      </c>
    </row>
    <row r="63" spans="1:22" ht="12.75">
      <c r="A63">
        <f t="shared" si="13"/>
        <v>240</v>
      </c>
      <c r="B63">
        <f t="shared" si="3"/>
        <v>4.1887902047863905</v>
      </c>
      <c r="C63" s="1">
        <f t="shared" si="4"/>
        <v>0.8039650107718456</v>
      </c>
      <c r="D63" s="1">
        <f t="shared" si="5"/>
        <v>-33.72735440054223</v>
      </c>
      <c r="E63">
        <f t="shared" si="6"/>
        <v>2.0751453111231593</v>
      </c>
      <c r="F63">
        <f t="shared" si="7"/>
        <v>209.5954897828196</v>
      </c>
      <c r="G63">
        <f t="shared" si="19"/>
        <v>0.6449782794340895</v>
      </c>
      <c r="H63">
        <f t="shared" si="20"/>
        <v>-0.7841394410142333</v>
      </c>
      <c r="J63">
        <f t="shared" si="8"/>
        <v>68.74959767771061</v>
      </c>
      <c r="K63">
        <f t="shared" si="14"/>
        <v>-1.7007209020079017</v>
      </c>
      <c r="L63" s="9">
        <f t="shared" si="15"/>
        <v>-0.9965194275780392</v>
      </c>
      <c r="N63" s="8">
        <v>12500</v>
      </c>
      <c r="O63">
        <f t="shared" si="9"/>
        <v>-435082.8717669948</v>
      </c>
      <c r="P63">
        <f t="shared" si="10"/>
        <v>-587900.5488737876</v>
      </c>
      <c r="Q63">
        <f t="shared" si="11"/>
        <v>152817.6771067928</v>
      </c>
      <c r="R63" s="1">
        <f t="shared" si="2"/>
        <v>7543.123723617071</v>
      </c>
      <c r="S63">
        <f t="shared" si="16"/>
        <v>-3129.798882167319</v>
      </c>
      <c r="T63">
        <f t="shared" si="17"/>
        <v>0</v>
      </c>
      <c r="U63">
        <f t="shared" si="18"/>
        <v>129836.91321397625</v>
      </c>
      <c r="V63">
        <f t="shared" si="12"/>
        <v>23353242436.315987</v>
      </c>
    </row>
    <row r="64" spans="1:22" ht="12.75">
      <c r="A64">
        <f t="shared" si="13"/>
        <v>245</v>
      </c>
      <c r="B64">
        <f t="shared" si="3"/>
        <v>4.276056667386107</v>
      </c>
      <c r="C64" s="1">
        <f t="shared" si="4"/>
        <v>0.7683598114843943</v>
      </c>
      <c r="D64" s="1">
        <f t="shared" si="5"/>
        <v>-36.0083099830947</v>
      </c>
      <c r="E64">
        <f t="shared" si="6"/>
        <v>2.0582478725609863</v>
      </c>
      <c r="F64">
        <f t="shared" si="7"/>
        <v>208.55331276711908</v>
      </c>
      <c r="G64">
        <f t="shared" si="19"/>
        <v>0.6685807097092881</v>
      </c>
      <c r="H64">
        <f t="shared" si="20"/>
        <v>-0.8647009119009237</v>
      </c>
      <c r="J64">
        <f t="shared" si="8"/>
        <v>65.70488417220999</v>
      </c>
      <c r="K64">
        <f t="shared" si="14"/>
        <v>-1.8268281033003744</v>
      </c>
      <c r="L64" s="9">
        <f t="shared" si="15"/>
        <v>-0.9079450708973517</v>
      </c>
      <c r="N64" s="8">
        <v>12000</v>
      </c>
      <c r="O64">
        <f t="shared" si="9"/>
        <v>-446503.04379037424</v>
      </c>
      <c r="P64">
        <f t="shared" si="10"/>
        <v>-615246.2076967639</v>
      </c>
      <c r="Q64">
        <f t="shared" si="11"/>
        <v>168743.16390638967</v>
      </c>
      <c r="R64" s="1">
        <f t="shared" si="2"/>
        <v>7799.390858259581</v>
      </c>
      <c r="S64">
        <f t="shared" si="16"/>
        <v>-3108.1450368652204</v>
      </c>
      <c r="T64">
        <f t="shared" si="17"/>
        <v>0</v>
      </c>
      <c r="U64">
        <f t="shared" si="18"/>
        <v>160780.42050659124</v>
      </c>
      <c r="V64">
        <f t="shared" si="12"/>
        <v>28474255365.13869</v>
      </c>
    </row>
    <row r="65" spans="1:22" ht="12.75">
      <c r="A65">
        <f t="shared" si="13"/>
        <v>250</v>
      </c>
      <c r="B65">
        <f t="shared" si="3"/>
        <v>4.363323129985823</v>
      </c>
      <c r="C65" s="1">
        <f t="shared" si="4"/>
        <v>0.7305657285205921</v>
      </c>
      <c r="D65" s="1">
        <f t="shared" si="5"/>
        <v>-38.01340711530691</v>
      </c>
      <c r="E65">
        <f t="shared" si="6"/>
        <v>2.038188756753131</v>
      </c>
      <c r="F65">
        <f t="shared" si="7"/>
        <v>207.29707954803672</v>
      </c>
      <c r="G65">
        <f t="shared" si="19"/>
        <v>0.693634135215113</v>
      </c>
      <c r="H65">
        <f t="shared" si="20"/>
        <v>-0.9469730648026702</v>
      </c>
      <c r="J65">
        <f t="shared" si="8"/>
        <v>62.47299228195858</v>
      </c>
      <c r="K65">
        <f t="shared" si="14"/>
        <v>-1.9391351341508427</v>
      </c>
      <c r="L65" s="9">
        <f t="shared" si="15"/>
        <v>-0.8085867741312411</v>
      </c>
      <c r="N65" s="8">
        <v>11500</v>
      </c>
      <c r="O65">
        <f t="shared" si="9"/>
        <v>-452359.54467215226</v>
      </c>
      <c r="P65">
        <f t="shared" si="10"/>
        <v>-637909.4713833503</v>
      </c>
      <c r="Q65">
        <f t="shared" si="11"/>
        <v>185549.92671119806</v>
      </c>
      <c r="R65" s="1">
        <f t="shared" si="2"/>
        <v>7963.0880657192465</v>
      </c>
      <c r="S65">
        <f t="shared" si="16"/>
        <v>-3164.5608092045</v>
      </c>
      <c r="T65">
        <f t="shared" si="17"/>
        <v>0</v>
      </c>
      <c r="U65">
        <f t="shared" si="18"/>
        <v>177146.54530879387</v>
      </c>
      <c r="V65">
        <f t="shared" si="12"/>
        <v>34428775302.53097</v>
      </c>
    </row>
    <row r="66" spans="1:22" ht="12.75">
      <c r="A66">
        <f t="shared" si="13"/>
        <v>255</v>
      </c>
      <c r="B66">
        <f t="shared" si="3"/>
        <v>4.4505895925855405</v>
      </c>
      <c r="C66" s="1">
        <f t="shared" si="4"/>
        <v>0.6908747753080038</v>
      </c>
      <c r="D66" s="1">
        <f t="shared" si="5"/>
        <v>-39.72304529642803</v>
      </c>
      <c r="E66">
        <f t="shared" si="6"/>
        <v>2.015206705898388</v>
      </c>
      <c r="F66">
        <f t="shared" si="7"/>
        <v>205.8325288296011</v>
      </c>
      <c r="G66">
        <f t="shared" si="19"/>
        <v>0.7199449823527233</v>
      </c>
      <c r="H66">
        <f t="shared" si="20"/>
        <v>-1.0309107311195205</v>
      </c>
      <c r="J66">
        <f t="shared" si="8"/>
        <v>59.07889300120684</v>
      </c>
      <c r="K66">
        <f t="shared" si="14"/>
        <v>-2.0364595684510434</v>
      </c>
      <c r="L66" s="9">
        <f t="shared" si="15"/>
        <v>-0.700715260469538</v>
      </c>
      <c r="N66" s="8">
        <v>10700</v>
      </c>
      <c r="O66">
        <f t="shared" si="9"/>
        <v>-440925.80279035115</v>
      </c>
      <c r="P66">
        <f t="shared" si="10"/>
        <v>-655717.8588124394</v>
      </c>
      <c r="Q66">
        <f t="shared" si="11"/>
        <v>214792.05602208822</v>
      </c>
      <c r="R66" s="1">
        <f t="shared" si="2"/>
        <v>8051.463283018427</v>
      </c>
      <c r="S66">
        <f t="shared" si="16"/>
        <v>-3139.541834695359</v>
      </c>
      <c r="T66">
        <f t="shared" si="17"/>
        <v>0</v>
      </c>
      <c r="U66">
        <f t="shared" si="18"/>
        <v>200170.99136664314</v>
      </c>
      <c r="V66">
        <f t="shared" si="12"/>
        <v>46135627330.195885</v>
      </c>
    </row>
    <row r="67" spans="1:22" ht="12.75">
      <c r="A67">
        <f t="shared" si="13"/>
        <v>260</v>
      </c>
      <c r="B67">
        <f t="shared" si="3"/>
        <v>4.537856055185257</v>
      </c>
      <c r="C67" s="1">
        <f t="shared" si="4"/>
        <v>0.6495960818232273</v>
      </c>
      <c r="D67" s="1">
        <f t="shared" si="5"/>
        <v>-41.12316893990929</v>
      </c>
      <c r="E67">
        <f t="shared" si="6"/>
        <v>1.9895584775456236</v>
      </c>
      <c r="F67">
        <f t="shared" si="7"/>
        <v>204.16645479146138</v>
      </c>
      <c r="G67">
        <f t="shared" si="19"/>
        <v>0.7473083310861512</v>
      </c>
      <c r="H67">
        <f t="shared" si="20"/>
        <v>-1.1164620733385733</v>
      </c>
      <c r="J67">
        <f t="shared" si="8"/>
        <v>55.54902101459464</v>
      </c>
      <c r="K67">
        <f t="shared" si="14"/>
        <v>-2.1179231919673196</v>
      </c>
      <c r="L67" s="9">
        <f t="shared" si="15"/>
        <v>-0.5865207908111393</v>
      </c>
      <c r="N67" s="8">
        <v>10200</v>
      </c>
      <c r="O67">
        <f t="shared" si="9"/>
        <v>-435905.5907630385</v>
      </c>
      <c r="P67">
        <f t="shared" si="10"/>
        <v>-668535.8374026973</v>
      </c>
      <c r="Q67">
        <f t="shared" si="11"/>
        <v>232630.2466396588</v>
      </c>
      <c r="R67" s="1">
        <f t="shared" si="2"/>
        <v>8075.412921411549</v>
      </c>
      <c r="S67">
        <f t="shared" si="16"/>
        <v>-3073.9301883414573</v>
      </c>
      <c r="T67">
        <f t="shared" si="17"/>
        <v>0</v>
      </c>
      <c r="U67">
        <f t="shared" si="18"/>
        <v>223711.15133087352</v>
      </c>
      <c r="V67">
        <f t="shared" si="12"/>
        <v>54116831651.628494</v>
      </c>
    </row>
    <row r="68" spans="1:22" ht="12.75">
      <c r="A68">
        <f t="shared" si="13"/>
        <v>265</v>
      </c>
      <c r="B68">
        <f t="shared" si="3"/>
        <v>4.625122517784973</v>
      </c>
      <c r="C68" s="1">
        <f t="shared" si="4"/>
        <v>0.6070506260298669</v>
      </c>
      <c r="D68" s="1">
        <f t="shared" si="5"/>
        <v>-42.204458835744475</v>
      </c>
      <c r="E68">
        <f t="shared" si="6"/>
        <v>1.9615117481281568</v>
      </c>
      <c r="F68">
        <f t="shared" si="7"/>
        <v>202.30672732141417</v>
      </c>
      <c r="G68">
        <f t="shared" si="19"/>
        <v>0.7755114074341396</v>
      </c>
      <c r="H68">
        <f t="shared" si="20"/>
        <v>-1.2035721890077684</v>
      </c>
      <c r="J68">
        <f t="shared" si="8"/>
        <v>51.91082416570414</v>
      </c>
      <c r="K68">
        <f t="shared" si="14"/>
        <v>-2.1829181093343006</v>
      </c>
      <c r="L68" s="9">
        <f t="shared" si="15"/>
        <v>-0.46794960360644783</v>
      </c>
      <c r="N68" s="8">
        <v>9155</v>
      </c>
      <c r="O68">
        <f t="shared" si="9"/>
        <v>-403263.60417553846</v>
      </c>
      <c r="P68">
        <f t="shared" si="10"/>
        <v>-676265.8545973455</v>
      </c>
      <c r="Q68">
        <f t="shared" si="11"/>
        <v>273002.250421807</v>
      </c>
      <c r="R68" s="1">
        <f t="shared" si="2"/>
        <v>8041.4269114051785</v>
      </c>
      <c r="S68">
        <f t="shared" si="16"/>
        <v>-2934.054167094819</v>
      </c>
      <c r="T68">
        <f t="shared" si="17"/>
        <v>0</v>
      </c>
      <c r="U68">
        <f t="shared" si="18"/>
        <v>252816.2485307329</v>
      </c>
      <c r="V68">
        <f t="shared" si="12"/>
        <v>74530228735.37102</v>
      </c>
    </row>
    <row r="69" spans="1:22" ht="12.75">
      <c r="A69">
        <f t="shared" si="13"/>
        <v>270</v>
      </c>
      <c r="B69">
        <f t="shared" si="3"/>
        <v>4.71238898038469</v>
      </c>
      <c r="C69" s="1">
        <f t="shared" si="4"/>
        <v>0.5635668971614389</v>
      </c>
      <c r="D69" s="1">
        <f t="shared" si="5"/>
        <v>-42.96134145134148</v>
      </c>
      <c r="E69">
        <f t="shared" si="6"/>
        <v>1.9313391806465043</v>
      </c>
      <c r="F69">
        <f t="shared" si="7"/>
        <v>200.2623154147829</v>
      </c>
      <c r="G69">
        <f t="shared" si="19"/>
        <v>0.8043364582486825</v>
      </c>
      <c r="H69">
        <f t="shared" si="20"/>
        <v>-1.2921861682745943</v>
      </c>
      <c r="J69">
        <f t="shared" si="8"/>
        <v>48.19239261062811</v>
      </c>
      <c r="K69">
        <f t="shared" si="14"/>
        <v>-2.2310589330456185</v>
      </c>
      <c r="L69" s="9">
        <f t="shared" si="15"/>
        <v>-0.34660370819155145</v>
      </c>
      <c r="N69" s="8">
        <v>9900</v>
      </c>
      <c r="O69">
        <f t="shared" si="9"/>
        <v>-442501.8169488173</v>
      </c>
      <c r="P69">
        <f t="shared" si="10"/>
        <v>-678849.0802980203</v>
      </c>
      <c r="Q69">
        <f t="shared" si="11"/>
        <v>236347.26334920299</v>
      </c>
      <c r="R69" s="1">
        <f t="shared" si="2"/>
        <v>7952.836950039304</v>
      </c>
      <c r="S69">
        <f t="shared" si="16"/>
        <v>-2952.27972008224</v>
      </c>
      <c r="T69">
        <f t="shared" si="17"/>
        <v>0</v>
      </c>
      <c r="U69">
        <f t="shared" si="18"/>
        <v>254674.756885505</v>
      </c>
      <c r="V69">
        <f t="shared" si="12"/>
        <v>55860028892.65751</v>
      </c>
    </row>
    <row r="70" spans="1:22" ht="12.75">
      <c r="A70">
        <f t="shared" si="13"/>
        <v>275</v>
      </c>
      <c r="B70">
        <f t="shared" si="3"/>
        <v>4.799655442984406</v>
      </c>
      <c r="C70" s="1">
        <f t="shared" si="4"/>
        <v>0.5194775990126114</v>
      </c>
      <c r="D70" s="1">
        <f t="shared" si="5"/>
        <v>-43.3909630730639</v>
      </c>
      <c r="E70">
        <f t="shared" si="6"/>
        <v>1.8993138051306324</v>
      </c>
      <c r="F70">
        <f t="shared" si="7"/>
        <v>198.04331365985934</v>
      </c>
      <c r="G70">
        <f t="shared" si="19"/>
        <v>0.8335629365795284</v>
      </c>
      <c r="H70">
        <f t="shared" si="20"/>
        <v>-1.3822515280593368</v>
      </c>
      <c r="J70">
        <f t="shared" si="8"/>
        <v>44.42217690594899</v>
      </c>
      <c r="K70">
        <f t="shared" si="14"/>
        <v>-2.262129422807474</v>
      </c>
      <c r="L70" s="9">
        <f t="shared" si="15"/>
        <v>-0.22370092857914659</v>
      </c>
      <c r="N70" s="8">
        <v>10200</v>
      </c>
      <c r="O70">
        <f t="shared" si="9"/>
        <v>-459944.20857447735</v>
      </c>
      <c r="P70">
        <f t="shared" si="10"/>
        <v>-676265.8545973455</v>
      </c>
      <c r="Q70">
        <f t="shared" si="11"/>
        <v>216321.6460228681</v>
      </c>
      <c r="R70" s="1">
        <f t="shared" si="2"/>
        <v>7810.600303972211</v>
      </c>
      <c r="S70">
        <f t="shared" si="16"/>
        <v>-3157.5556526687665</v>
      </c>
      <c r="T70">
        <f t="shared" si="17"/>
        <v>0</v>
      </c>
      <c r="U70">
        <f t="shared" si="18"/>
        <v>226334.45468603555</v>
      </c>
      <c r="V70">
        <f t="shared" si="12"/>
        <v>46795054538.04305</v>
      </c>
    </row>
    <row r="71" spans="1:22" ht="12.75">
      <c r="A71">
        <f t="shared" si="13"/>
        <v>280</v>
      </c>
      <c r="B71">
        <f t="shared" si="3"/>
        <v>4.886921905584122</v>
      </c>
      <c r="C71" s="1">
        <f t="shared" si="4"/>
        <v>0.4751173694873399</v>
      </c>
      <c r="D71" s="1">
        <f t="shared" si="5"/>
        <v>-43.49223903512189</v>
      </c>
      <c r="E71">
        <f t="shared" si="6"/>
        <v>1.865705704115147</v>
      </c>
      <c r="F71">
        <f t="shared" si="7"/>
        <v>195.6609716131791</v>
      </c>
      <c r="G71">
        <f t="shared" si="19"/>
        <v>0.8629690133693031</v>
      </c>
      <c r="H71">
        <f t="shared" si="20"/>
        <v>-1.4737200148847638</v>
      </c>
      <c r="J71">
        <f t="shared" si="8"/>
        <v>40.62879300006805</v>
      </c>
      <c r="K71">
        <f t="shared" si="14"/>
        <v>-2.2760303435285625</v>
      </c>
      <c r="L71" s="9">
        <f t="shared" si="15"/>
        <v>-0.1000836773815575</v>
      </c>
      <c r="N71" s="8">
        <v>10600</v>
      </c>
      <c r="O71">
        <f t="shared" si="9"/>
        <v>-478414.6293863408</v>
      </c>
      <c r="P71">
        <f t="shared" si="10"/>
        <v>-668535.8374026974</v>
      </c>
      <c r="Q71">
        <f t="shared" si="11"/>
        <v>190121.20801635663</v>
      </c>
      <c r="R71" s="1">
        <f t="shared" si="2"/>
        <v>7613.747857893438</v>
      </c>
      <c r="S71">
        <f t="shared" si="16"/>
        <v>-3287.599385096812</v>
      </c>
      <c r="T71">
        <f t="shared" si="17"/>
        <v>0</v>
      </c>
      <c r="U71">
        <f t="shared" si="18"/>
        <v>203221.42701961237</v>
      </c>
      <c r="V71">
        <f t="shared" si="12"/>
        <v>36146073737.59875</v>
      </c>
    </row>
    <row r="72" spans="1:22" ht="12.75">
      <c r="A72">
        <f t="shared" si="13"/>
        <v>285</v>
      </c>
      <c r="B72">
        <f t="shared" si="3"/>
        <v>4.97418836818384</v>
      </c>
      <c r="C72" s="1">
        <f t="shared" si="4"/>
        <v>0.4308214001834818</v>
      </c>
      <c r="D72" s="1">
        <f t="shared" si="5"/>
        <v>-43.26504950727254</v>
      </c>
      <c r="E72">
        <f t="shared" si="6"/>
        <v>1.8307798886595608</v>
      </c>
      <c r="F72">
        <f t="shared" si="7"/>
        <v>193.1277256988128</v>
      </c>
      <c r="G72">
        <f t="shared" si="19"/>
        <v>0.8923324925209314</v>
      </c>
      <c r="H72">
        <f t="shared" si="20"/>
        <v>-1.5665488137884394</v>
      </c>
      <c r="J72">
        <f t="shared" si="8"/>
        <v>36.840904189508</v>
      </c>
      <c r="K72">
        <f t="shared" si="14"/>
        <v>-2.2727332863360292</v>
      </c>
      <c r="L72" s="9">
        <f t="shared" si="15"/>
        <v>0.023738111668059735</v>
      </c>
      <c r="N72" s="8">
        <v>11000</v>
      </c>
      <c r="O72">
        <f t="shared" si="9"/>
        <v>-493221.564382907</v>
      </c>
      <c r="P72">
        <f t="shared" si="10"/>
        <v>-655717.8588124394</v>
      </c>
      <c r="Q72">
        <f t="shared" si="11"/>
        <v>162496.29442953237</v>
      </c>
      <c r="R72" s="1">
        <f t="shared" si="2"/>
        <v>7359.562571539589</v>
      </c>
      <c r="S72">
        <f t="shared" si="16"/>
        <v>-3409.0999295040433</v>
      </c>
      <c r="T72">
        <f t="shared" si="17"/>
        <v>0</v>
      </c>
      <c r="U72">
        <f t="shared" si="18"/>
        <v>176308.7512229445</v>
      </c>
      <c r="V72">
        <f t="shared" si="12"/>
        <v>26405045703.329273</v>
      </c>
    </row>
    <row r="73" spans="1:22" ht="12.75">
      <c r="A73">
        <f t="shared" si="13"/>
        <v>290</v>
      </c>
      <c r="B73">
        <f t="shared" si="3"/>
        <v>5.061454830783555</v>
      </c>
      <c r="C73" s="1">
        <f t="shared" si="4"/>
        <v>0.38692478425756277</v>
      </c>
      <c r="D73" s="1">
        <f t="shared" si="5"/>
        <v>-42.709620641655704</v>
      </c>
      <c r="E73">
        <f t="shared" si="6"/>
        <v>1.794795190644376</v>
      </c>
      <c r="F73">
        <f t="shared" si="7"/>
        <v>190.4572330264117</v>
      </c>
      <c r="G73">
        <f t="shared" si="19"/>
        <v>0.921431243193388</v>
      </c>
      <c r="H73">
        <f t="shared" si="20"/>
        <v>-1.6607012237308831</v>
      </c>
      <c r="J73">
        <f t="shared" si="8"/>
        <v>33.087165352761104</v>
      </c>
      <c r="K73">
        <f t="shared" si="14"/>
        <v>-2.2522433020481385</v>
      </c>
      <c r="L73" s="9">
        <f t="shared" si="15"/>
        <v>0.14752353589870065</v>
      </c>
      <c r="N73" s="8">
        <v>11600</v>
      </c>
      <c r="O73">
        <f t="shared" si="9"/>
        <v>-512515.44769986847</v>
      </c>
      <c r="P73">
        <f t="shared" si="10"/>
        <v>-637909.4713833502</v>
      </c>
      <c r="Q73">
        <f t="shared" si="11"/>
        <v>125394.02368348173</v>
      </c>
      <c r="R73" s="1">
        <f t="shared" si="2"/>
        <v>7043.50960292271</v>
      </c>
      <c r="S73">
        <f t="shared" si="16"/>
        <v>-3534.770737936662</v>
      </c>
      <c r="T73">
        <f t="shared" si="17"/>
        <v>0</v>
      </c>
      <c r="U73">
        <f t="shared" si="18"/>
        <v>143945.15905650705</v>
      </c>
      <c r="V73">
        <f t="shared" si="12"/>
        <v>15723661175.533577</v>
      </c>
    </row>
    <row r="74" spans="1:22" ht="12.75">
      <c r="A74">
        <f t="shared" si="13"/>
        <v>295</v>
      </c>
      <c r="B74">
        <f t="shared" si="3"/>
        <v>5.1487212933832724</v>
      </c>
      <c r="C74" s="1">
        <f t="shared" si="4"/>
        <v>0.34376239387161556</v>
      </c>
      <c r="D74" s="1">
        <f t="shared" si="5"/>
        <v>-41.82610675439652</v>
      </c>
      <c r="E74">
        <f t="shared" si="6"/>
        <v>1.7580039742065394</v>
      </c>
      <c r="F74">
        <f t="shared" si="7"/>
        <v>187.66440619476566</v>
      </c>
      <c r="G74">
        <f t="shared" si="19"/>
        <v>0.950043281041306</v>
      </c>
      <c r="H74">
        <f t="shared" si="20"/>
        <v>-1.7561468649205185</v>
      </c>
      <c r="J74">
        <f t="shared" si="8"/>
        <v>29.39621247037968</v>
      </c>
      <c r="K74">
        <f t="shared" si="14"/>
        <v>-2.2145717294288545</v>
      </c>
      <c r="L74" s="9">
        <f t="shared" si="15"/>
        <v>0.2712273234365389</v>
      </c>
      <c r="N74" s="8">
        <v>12000</v>
      </c>
      <c r="O74">
        <f t="shared" si="9"/>
        <v>-518643.72375451686</v>
      </c>
      <c r="P74">
        <f t="shared" si="10"/>
        <v>-615246.2076967638</v>
      </c>
      <c r="Q74">
        <f t="shared" si="11"/>
        <v>96602.48394224694</v>
      </c>
      <c r="R74" s="1">
        <f t="shared" si="2"/>
        <v>6658.89767437485</v>
      </c>
      <c r="S74">
        <f t="shared" si="16"/>
        <v>-3629.4370010084003</v>
      </c>
      <c r="T74">
        <f t="shared" si="17"/>
        <v>0</v>
      </c>
      <c r="U74">
        <f t="shared" si="18"/>
        <v>110998.25381286434</v>
      </c>
      <c r="V74">
        <f t="shared" si="12"/>
        <v>9332039903.812077</v>
      </c>
    </row>
    <row r="75" spans="1:22" ht="12.75">
      <c r="A75">
        <f t="shared" si="13"/>
        <v>300</v>
      </c>
      <c r="B75">
        <f t="shared" si="3"/>
        <v>5.235987755982989</v>
      </c>
      <c r="C75" s="1">
        <f t="shared" si="4"/>
        <v>0.30166908018373456</v>
      </c>
      <c r="D75" s="1">
        <f t="shared" si="5"/>
        <v>-40.61437569819036</v>
      </c>
      <c r="E75">
        <f t="shared" si="6"/>
        <v>1.7206524711632922</v>
      </c>
      <c r="F75">
        <f t="shared" si="7"/>
        <v>184.76544770971225</v>
      </c>
      <c r="G75">
        <f t="shared" si="19"/>
        <v>0.977946635642678</v>
      </c>
      <c r="H75">
        <f t="shared" si="20"/>
        <v>-1.8528614759621105</v>
      </c>
      <c r="J75">
        <f t="shared" si="8"/>
        <v>25.796679726802687</v>
      </c>
      <c r="K75">
        <f t="shared" si="14"/>
        <v>-2.159719646146196</v>
      </c>
      <c r="L75" s="9">
        <f t="shared" si="15"/>
        <v>0.3949233519934875</v>
      </c>
      <c r="N75" s="8">
        <v>12000</v>
      </c>
      <c r="O75">
        <f t="shared" si="9"/>
        <v>-503618.25865756045</v>
      </c>
      <c r="P75">
        <f t="shared" si="10"/>
        <v>-587900.5488737877</v>
      </c>
      <c r="Q75">
        <f t="shared" si="11"/>
        <v>84282.2902162273</v>
      </c>
      <c r="R75" s="1">
        <f t="shared" si="2"/>
        <v>6196.2000958622275</v>
      </c>
      <c r="S75">
        <f t="shared" si="16"/>
        <v>-3599.5327435769937</v>
      </c>
      <c r="T75">
        <f t="shared" si="17"/>
        <v>0</v>
      </c>
      <c r="U75">
        <f t="shared" si="18"/>
        <v>90442.38707923712</v>
      </c>
      <c r="V75">
        <f t="shared" si="12"/>
        <v>7103504444.092363</v>
      </c>
    </row>
    <row r="76" spans="1:22" ht="12.75">
      <c r="A76">
        <f t="shared" si="13"/>
        <v>305</v>
      </c>
      <c r="B76">
        <f t="shared" si="3"/>
        <v>5.323254218582705</v>
      </c>
      <c r="C76" s="1">
        <f t="shared" si="4"/>
        <v>0.26097999012370166</v>
      </c>
      <c r="D76" s="1">
        <f t="shared" si="5"/>
        <v>-39.073993860028494</v>
      </c>
      <c r="E76">
        <f t="shared" si="6"/>
        <v>1.6829815610952812</v>
      </c>
      <c r="F76">
        <f t="shared" si="7"/>
        <v>181.77788207423697</v>
      </c>
      <c r="G76">
        <f t="shared" si="19"/>
        <v>1.0049191405105744</v>
      </c>
      <c r="H76">
        <f t="shared" si="20"/>
        <v>-1.9508263437619413</v>
      </c>
      <c r="J76">
        <f t="shared" si="8"/>
        <v>22.317226598844055</v>
      </c>
      <c r="K76">
        <f t="shared" si="14"/>
        <v>-2.087671876775179</v>
      </c>
      <c r="L76" s="9">
        <f t="shared" si="15"/>
        <v>0.518728640387873</v>
      </c>
      <c r="N76" s="8">
        <v>11700</v>
      </c>
      <c r="O76">
        <f t="shared" si="9"/>
        <v>-472795.3257063448</v>
      </c>
      <c r="P76">
        <f t="shared" si="10"/>
        <v>-556080.6118898252</v>
      </c>
      <c r="Q76">
        <f t="shared" si="11"/>
        <v>83285.2861834804</v>
      </c>
      <c r="R76" s="1">
        <f t="shared" si="2"/>
        <v>5641.885882858995</v>
      </c>
      <c r="S76">
        <f t="shared" si="16"/>
        <v>-3435.9599638591485</v>
      </c>
      <c r="T76">
        <f t="shared" si="17"/>
        <v>0</v>
      </c>
      <c r="U76">
        <f t="shared" si="18"/>
        <v>83783.78819985385</v>
      </c>
      <c r="V76">
        <f t="shared" si="12"/>
        <v>6936438894.664232</v>
      </c>
    </row>
    <row r="77" spans="1:22" ht="12.75">
      <c r="A77">
        <f t="shared" si="13"/>
        <v>310</v>
      </c>
      <c r="B77">
        <f t="shared" si="3"/>
        <v>5.410520681182422</v>
      </c>
      <c r="C77" s="1">
        <f t="shared" si="4"/>
        <v>0.222030798396024</v>
      </c>
      <c r="D77" s="1">
        <f t="shared" si="5"/>
        <v>-37.204406779513825</v>
      </c>
      <c r="E77">
        <f t="shared" si="6"/>
        <v>1.645227837902333</v>
      </c>
      <c r="F77">
        <f t="shared" si="7"/>
        <v>178.72058288176837</v>
      </c>
      <c r="G77">
        <f t="shared" si="19"/>
        <v>1.0307382792999997</v>
      </c>
      <c r="H77">
        <f t="shared" si="20"/>
        <v>-2.0500273907651803</v>
      </c>
      <c r="J77">
        <f t="shared" si="8"/>
        <v>18.986557695008187</v>
      </c>
      <c r="K77">
        <f t="shared" si="14"/>
        <v>-1.9984013423015208</v>
      </c>
      <c r="L77" s="9">
        <f t="shared" si="15"/>
        <v>0.6427288919349612</v>
      </c>
      <c r="N77" s="8">
        <v>11500</v>
      </c>
      <c r="O77">
        <f t="shared" si="9"/>
        <v>-442732.4406762145</v>
      </c>
      <c r="P77">
        <f t="shared" si="10"/>
        <v>-520028.5656787274</v>
      </c>
      <c r="Q77">
        <f t="shared" si="11"/>
        <v>77296.12500251288</v>
      </c>
      <c r="R77" s="1">
        <f t="shared" si="2"/>
        <v>4976.475073616032</v>
      </c>
      <c r="S77">
        <f t="shared" si="16"/>
        <v>-3219.646607041339</v>
      </c>
      <c r="T77">
        <f t="shared" si="17"/>
        <v>0</v>
      </c>
      <c r="U77">
        <f t="shared" si="18"/>
        <v>80290.70559299664</v>
      </c>
      <c r="V77">
        <f t="shared" si="12"/>
        <v>5974690940.404098</v>
      </c>
    </row>
    <row r="78" spans="1:22" ht="12.75">
      <c r="A78">
        <f t="shared" si="13"/>
        <v>315</v>
      </c>
      <c r="B78">
        <f t="shared" si="3"/>
        <v>5.497787143782138</v>
      </c>
      <c r="C78" s="1">
        <f t="shared" si="4"/>
        <v>0.1851576562021043</v>
      </c>
      <c r="D78" s="1">
        <f t="shared" si="5"/>
        <v>-35.00531366525637</v>
      </c>
      <c r="E78">
        <f t="shared" si="6"/>
        <v>1.6076248253410195</v>
      </c>
      <c r="F78">
        <f t="shared" si="7"/>
        <v>175.61379134241136</v>
      </c>
      <c r="G78">
        <f t="shared" si="19"/>
        <v>1.055181219799597</v>
      </c>
      <c r="H78">
        <f t="shared" si="20"/>
        <v>-2.1504539254266133</v>
      </c>
      <c r="J78">
        <f t="shared" si="8"/>
        <v>15.833418370560153</v>
      </c>
      <c r="K78">
        <f t="shared" si="14"/>
        <v>-1.8918835946688206</v>
      </c>
      <c r="L78" s="9">
        <f t="shared" si="15"/>
        <v>0.7669051642966793</v>
      </c>
      <c r="N78" s="8">
        <v>11200</v>
      </c>
      <c r="O78">
        <f t="shared" si="9"/>
        <v>-406061.6385169739</v>
      </c>
      <c r="P78">
        <f t="shared" si="10"/>
        <v>-480018.78808098135</v>
      </c>
      <c r="Q78">
        <f t="shared" si="11"/>
        <v>73957.14956400747</v>
      </c>
      <c r="R78" s="1">
        <f t="shared" si="2"/>
        <v>4171.2713678610435</v>
      </c>
      <c r="S78">
        <f t="shared" si="16"/>
        <v>-2982.344277707099</v>
      </c>
      <c r="T78">
        <f t="shared" si="17"/>
        <v>0</v>
      </c>
      <c r="U78">
        <f t="shared" si="18"/>
        <v>75626.63728326018</v>
      </c>
      <c r="V78">
        <f t="shared" si="12"/>
        <v>5469659971.632971</v>
      </c>
    </row>
    <row r="79" spans="1:22" ht="12.75">
      <c r="A79">
        <f t="shared" si="13"/>
        <v>320</v>
      </c>
      <c r="B79">
        <f t="shared" si="3"/>
        <v>5.585053606381854</v>
      </c>
      <c r="C79" s="1">
        <f t="shared" si="4"/>
        <v>0.15069665852209865</v>
      </c>
      <c r="D79" s="1">
        <f t="shared" si="5"/>
        <v>-32.47723672051049</v>
      </c>
      <c r="E79">
        <f t="shared" si="6"/>
        <v>1.570404220925345</v>
      </c>
      <c r="F79">
        <f t="shared" si="7"/>
        <v>172.4791215880253</v>
      </c>
      <c r="G79">
        <f aca="true" t="shared" si="21" ref="G79:G87">ACOS(($C$5^2+F79^2-$C$4^2)/(2*$C$5*F79))-ASIN($C$8*SIN(B79-$C$10)/F79)</f>
        <v>1.0780251670666685</v>
      </c>
      <c r="H79">
        <f aca="true" t="shared" si="22" ref="H79:H87">E79+G79-(B79-$C$10)</f>
        <v>-2.2520970451749323</v>
      </c>
      <c r="J79">
        <f t="shared" si="8"/>
        <v>12.886549173107914</v>
      </c>
      <c r="K79">
        <f t="shared" si="14"/>
        <v>-1.7681215184713432</v>
      </c>
      <c r="L79" s="9">
        <f t="shared" si="15"/>
        <v>0.8910606681922245</v>
      </c>
      <c r="N79" s="8">
        <v>11000</v>
      </c>
      <c r="O79">
        <f t="shared" si="9"/>
        <v>-370240.4986138196</v>
      </c>
      <c r="P79">
        <f t="shared" si="10"/>
        <v>-436355.77766267024</v>
      </c>
      <c r="Q79">
        <f t="shared" si="11"/>
        <v>66115.27904885064</v>
      </c>
      <c r="R79" s="1">
        <f t="shared" si="2"/>
        <v>3182.687119104181</v>
      </c>
      <c r="S79">
        <f t="shared" si="16"/>
        <v>-2725.854007643321</v>
      </c>
      <c r="T79">
        <f t="shared" si="17"/>
        <v>0</v>
      </c>
      <c r="U79">
        <f t="shared" si="18"/>
        <v>70036.21430642906</v>
      </c>
      <c r="V79">
        <f t="shared" si="12"/>
        <v>4371230123.707389</v>
      </c>
    </row>
    <row r="80" spans="1:22" ht="12.75">
      <c r="A80">
        <f t="shared" si="13"/>
        <v>325</v>
      </c>
      <c r="B80">
        <f aca="true" t="shared" si="23" ref="B80:B87">A80*2*PI()/360</f>
        <v>5.672320068981571</v>
      </c>
      <c r="C80" s="1">
        <f aca="true" t="shared" si="24" ref="C80:C87">($C$11-G80)/($C$11-$C$12)</f>
        <v>0.11898263021303432</v>
      </c>
      <c r="D80" s="1">
        <f aca="true" t="shared" si="25" ref="D80:D87">$C$9*$C$8*$C$3/$C$5*SIN(H80)/SIN(E80)</f>
        <v>-29.62228698952692</v>
      </c>
      <c r="E80">
        <f aca="true" t="shared" si="26" ref="E80:E87">ACOS(($C$5^2+$C$4^2-$C$7^2-$C$8^2+2*$C$7*$C$8*COS(B80-$C$10))/(2*$C$5*$C$4))</f>
        <v>1.5337970590943641</v>
      </c>
      <c r="F80">
        <f aca="true" t="shared" si="27" ref="F80:F87">SQRT($C$8^2+$C$7^2-2*$C$8*$C$7*COS(B80-$C$10))</f>
        <v>169.33954684733163</v>
      </c>
      <c r="G80">
        <f t="shared" si="21"/>
        <v>1.0990481681139952</v>
      </c>
      <c r="H80">
        <f t="shared" si="22"/>
        <v>-2.354947668558303</v>
      </c>
      <c r="J80">
        <f aca="true" t="shared" si="28" ref="J80:J87">$C$3*($C$11-G80)</f>
        <v>10.174582038002772</v>
      </c>
      <c r="K80">
        <f t="shared" si="14"/>
        <v>-1.6271802810630858</v>
      </c>
      <c r="L80" s="9">
        <f t="shared" si="15"/>
        <v>1.0147469809770426</v>
      </c>
      <c r="N80" s="8">
        <v>10900</v>
      </c>
      <c r="O80">
        <f aca="true" t="shared" si="29" ref="O80:O87">D80*(N80-$M$9)</f>
        <v>-334731.8429816542</v>
      </c>
      <c r="P80">
        <f aca="true" t="shared" si="30" ref="P80:P87">$M$10*SIN(RADIANS(A80))*$C$9</f>
        <v>-389371.83629752387</v>
      </c>
      <c r="Q80">
        <f aca="true" t="shared" si="31" ref="Q80:Q87">O80-P80</f>
        <v>54639.99331586965</v>
      </c>
      <c r="R80" s="1">
        <f aca="true" t="shared" si="32" ref="R80:R87">IF(($F$3+P80)/D80+$M$9&lt;$F$4,($F$3+P80)/D80+$M$9,$F$4)</f>
        <v>1941.87982589091</v>
      </c>
      <c r="S80">
        <f t="shared" si="16"/>
        <v>-2474.6700107834426</v>
      </c>
      <c r="T80">
        <f t="shared" si="17"/>
        <v>0</v>
      </c>
      <c r="U80">
        <f t="shared" si="18"/>
        <v>60377.63618236015</v>
      </c>
      <c r="V80">
        <f aca="true" t="shared" si="33" ref="V80:V87">Q80^2</f>
        <v>2985528869.55828</v>
      </c>
    </row>
    <row r="81" spans="1:22" ht="12.75">
      <c r="A81">
        <f aca="true" t="shared" si="34" ref="A81:A87">A80+$C$9*5</f>
        <v>330</v>
      </c>
      <c r="B81">
        <f t="shared" si="23"/>
        <v>5.759586531581287</v>
      </c>
      <c r="C81" s="1">
        <f t="shared" si="24"/>
        <v>0.09034703060936579</v>
      </c>
      <c r="D81" s="1">
        <f t="shared" si="25"/>
        <v>-26.445125301041983</v>
      </c>
      <c r="E81">
        <f t="shared" si="26"/>
        <v>1.498034690567299</v>
      </c>
      <c r="F81">
        <f t="shared" si="27"/>
        <v>166.2193592013503</v>
      </c>
      <c r="G81">
        <f t="shared" si="21"/>
        <v>1.1180305009350417</v>
      </c>
      <c r="H81">
        <f t="shared" si="22"/>
        <v>-2.458994166864038</v>
      </c>
      <c r="J81">
        <f t="shared" si="28"/>
        <v>7.725861104087766</v>
      </c>
      <c r="K81">
        <f aca="true" t="shared" si="35" ref="K81:K87">(J81-J80)/10*$E$11</f>
        <v>-1.4692325603490035</v>
      </c>
      <c r="L81" s="9">
        <f aca="true" t="shared" si="36" ref="L81:L87">(K81-K80)/(B81-B80)*$E$11*2*3.1415/60*$C$9</f>
        <v>1.137190049513711</v>
      </c>
      <c r="N81" s="8">
        <v>10800</v>
      </c>
      <c r="O81">
        <f t="shared" si="29"/>
        <v>-296185.4033716702</v>
      </c>
      <c r="P81">
        <f t="shared" si="30"/>
        <v>-339424.5401490104</v>
      </c>
      <c r="Q81">
        <f t="shared" si="31"/>
        <v>43239.1367773402</v>
      </c>
      <c r="R81" s="1">
        <f t="shared" si="32"/>
        <v>334.5225226913584</v>
      </c>
      <c r="S81">
        <f aca="true" t="shared" si="37" ref="S81:S87">(N81+N80)/2*(J81-J80)/12</f>
        <v>-2214.0518444148174</v>
      </c>
      <c r="T81">
        <f aca="true" t="shared" si="38" ref="T81:T87">IF(Q81&lt;0,(Q80+Q81)/2,0)</f>
        <v>0</v>
      </c>
      <c r="U81">
        <f aca="true" t="shared" si="39" ref="U81:U87">IF(Q81&gt;=0,(Q80+Q81)/2,0)</f>
        <v>48939.56504660493</v>
      </c>
      <c r="V81">
        <f t="shared" si="33"/>
        <v>1869622949.249534</v>
      </c>
    </row>
    <row r="82" spans="1:22" ht="12.75">
      <c r="A82">
        <f t="shared" si="34"/>
        <v>335</v>
      </c>
      <c r="B82">
        <f t="shared" si="23"/>
        <v>5.8468529941810035</v>
      </c>
      <c r="C82" s="1">
        <f t="shared" si="24"/>
        <v>0.06511478183453345</v>
      </c>
      <c r="D82" s="1">
        <f t="shared" si="25"/>
        <v>-22.954107737342984</v>
      </c>
      <c r="E82">
        <f t="shared" si="26"/>
        <v>1.4633494762110124</v>
      </c>
      <c r="F82">
        <f t="shared" si="27"/>
        <v>163.14409421708143</v>
      </c>
      <c r="G82">
        <f t="shared" si="21"/>
        <v>1.1347567769933908</v>
      </c>
      <c r="H82">
        <f t="shared" si="22"/>
        <v>-2.564219567761692</v>
      </c>
      <c r="J82">
        <f t="shared" si="28"/>
        <v>5.568171492560734</v>
      </c>
      <c r="K82">
        <f t="shared" si="35"/>
        <v>-1.2946137669162194</v>
      </c>
      <c r="L82" s="9">
        <f t="shared" si="36"/>
        <v>1.2572182330463206</v>
      </c>
      <c r="N82" s="8">
        <v>11300</v>
      </c>
      <c r="O82">
        <f t="shared" si="29"/>
        <v>-268563.0605269129</v>
      </c>
      <c r="P82">
        <f t="shared" si="30"/>
        <v>-286894.01829982165</v>
      </c>
      <c r="Q82">
        <f t="shared" si="31"/>
        <v>18330.957772908732</v>
      </c>
      <c r="R82" s="1">
        <f t="shared" si="32"/>
        <v>-1842.2682893624199</v>
      </c>
      <c r="S82">
        <f t="shared" si="37"/>
        <v>-1986.872517281142</v>
      </c>
      <c r="T82">
        <f t="shared" si="38"/>
        <v>0</v>
      </c>
      <c r="U82">
        <f t="shared" si="39"/>
        <v>30785.047275124467</v>
      </c>
      <c r="V82">
        <f t="shared" si="33"/>
        <v>336024012.87216306</v>
      </c>
    </row>
    <row r="83" spans="1:22" ht="12.75">
      <c r="A83">
        <f t="shared" si="34"/>
        <v>340</v>
      </c>
      <c r="B83">
        <f t="shared" si="23"/>
        <v>5.934119456780721</v>
      </c>
      <c r="C83" s="1">
        <f t="shared" si="24"/>
        <v>0.043599844801046936</v>
      </c>
      <c r="D83" s="1">
        <f t="shared" si="25"/>
        <v>-19.16258794370171</v>
      </c>
      <c r="E83">
        <f t="shared" si="26"/>
        <v>1.4299750923257897</v>
      </c>
      <c r="F83">
        <f t="shared" si="27"/>
        <v>160.14041047740088</v>
      </c>
      <c r="G83">
        <f t="shared" si="21"/>
        <v>1.149018873860438</v>
      </c>
      <c r="H83">
        <f t="shared" si="22"/>
        <v>-2.670598317379585</v>
      </c>
      <c r="J83">
        <f t="shared" si="28"/>
        <v>3.7283609967116362</v>
      </c>
      <c r="K83">
        <f t="shared" si="35"/>
        <v>-1.1038862975094585</v>
      </c>
      <c r="L83" s="9">
        <f t="shared" si="36"/>
        <v>1.3731972794398122</v>
      </c>
      <c r="N83" s="8">
        <v>11800</v>
      </c>
      <c r="O83">
        <f t="shared" si="29"/>
        <v>-233783.57291316084</v>
      </c>
      <c r="P83">
        <f t="shared" si="30"/>
        <v>-232180.0597400272</v>
      </c>
      <c r="Q83">
        <f t="shared" si="31"/>
        <v>-1603.5131731336296</v>
      </c>
      <c r="R83" s="1">
        <f t="shared" si="32"/>
        <v>-4982.88517803448</v>
      </c>
      <c r="S83">
        <f t="shared" si="37"/>
        <v>-1770.8176022547566</v>
      </c>
      <c r="T83">
        <f t="shared" si="38"/>
        <v>8363.722299887551</v>
      </c>
      <c r="U83">
        <f t="shared" si="39"/>
        <v>0</v>
      </c>
      <c r="V83">
        <f t="shared" si="33"/>
        <v>2571254.4964130814</v>
      </c>
    </row>
    <row r="84" spans="1:22" ht="12.75">
      <c r="A84">
        <f t="shared" si="34"/>
        <v>345</v>
      </c>
      <c r="B84">
        <f t="shared" si="23"/>
        <v>6.021385919380437</v>
      </c>
      <c r="C84" s="1">
        <f t="shared" si="24"/>
        <v>0.02609940783380968</v>
      </c>
      <c r="D84" s="1">
        <f t="shared" si="25"/>
        <v>-15.090322050553821</v>
      </c>
      <c r="E84">
        <f t="shared" si="26"/>
        <v>1.3981463426649992</v>
      </c>
      <c r="F84">
        <f t="shared" si="27"/>
        <v>157.23591312889087</v>
      </c>
      <c r="G84">
        <f t="shared" si="21"/>
        <v>1.1606197875351525</v>
      </c>
      <c r="H84">
        <f t="shared" si="22"/>
        <v>-2.7780926159653774</v>
      </c>
      <c r="J84">
        <f t="shared" si="28"/>
        <v>2.2318431326734802</v>
      </c>
      <c r="K84">
        <f t="shared" si="35"/>
        <v>-0.8979107184228936</v>
      </c>
      <c r="L84" s="9">
        <f t="shared" si="36"/>
        <v>1.4829804312534305</v>
      </c>
      <c r="N84" s="8">
        <v>12100</v>
      </c>
      <c r="O84">
        <f t="shared" si="29"/>
        <v>-188629.02563192276</v>
      </c>
      <c r="P84">
        <f t="shared" si="30"/>
        <v>-175699.070731458</v>
      </c>
      <c r="Q84">
        <f t="shared" si="31"/>
        <v>-12929.95490046477</v>
      </c>
      <c r="R84" s="1">
        <f t="shared" si="32"/>
        <v>-9962.481753876558</v>
      </c>
      <c r="S84">
        <f t="shared" si="37"/>
        <v>-1490.282372937997</v>
      </c>
      <c r="T84">
        <f t="shared" si="38"/>
        <v>-7266.7340367992</v>
      </c>
      <c r="U84">
        <f t="shared" si="39"/>
        <v>0</v>
      </c>
      <c r="V84">
        <f t="shared" si="33"/>
        <v>167183733.72805294</v>
      </c>
    </row>
    <row r="85" spans="1:22" ht="12.75">
      <c r="A85">
        <f t="shared" si="34"/>
        <v>350</v>
      </c>
      <c r="B85">
        <f t="shared" si="23"/>
        <v>6.108652381980153</v>
      </c>
      <c r="C85" s="1">
        <f t="shared" si="24"/>
        <v>0.0128866258954528</v>
      </c>
      <c r="D85" s="1">
        <f t="shared" si="25"/>
        <v>-10.764885746094473</v>
      </c>
      <c r="E85">
        <f t="shared" si="26"/>
        <v>1.3680983742523403</v>
      </c>
      <c r="F85">
        <f t="shared" si="27"/>
        <v>154.4589104052343</v>
      </c>
      <c r="G85">
        <f t="shared" si="21"/>
        <v>1.16937844555933</v>
      </c>
      <c r="H85">
        <f t="shared" si="22"/>
        <v>-2.8866483889535743</v>
      </c>
      <c r="J85">
        <f t="shared" si="28"/>
        <v>1.101976247554594</v>
      </c>
      <c r="K85">
        <f t="shared" si="35"/>
        <v>-0.6779201310713316</v>
      </c>
      <c r="L85" s="9">
        <f t="shared" si="36"/>
        <v>1.5838855147250694</v>
      </c>
      <c r="N85" s="8">
        <v>12400</v>
      </c>
      <c r="O85">
        <f t="shared" si="29"/>
        <v>-137790.53755000926</v>
      </c>
      <c r="P85">
        <f t="shared" si="30"/>
        <v>-117880.90570462291</v>
      </c>
      <c r="Q85">
        <f t="shared" si="31"/>
        <v>-19909.63184538635</v>
      </c>
      <c r="R85" s="1">
        <f t="shared" si="32"/>
        <v>-19175.777008939123</v>
      </c>
      <c r="S85">
        <f t="shared" si="37"/>
        <v>-1153.405778558863</v>
      </c>
      <c r="T85">
        <f t="shared" si="38"/>
        <v>-16419.79337292556</v>
      </c>
      <c r="U85">
        <f t="shared" si="39"/>
        <v>0</v>
      </c>
      <c r="V85">
        <f t="shared" si="33"/>
        <v>396393440.21882224</v>
      </c>
    </row>
    <row r="86" spans="1:22" ht="12.75">
      <c r="A86">
        <f t="shared" si="34"/>
        <v>355</v>
      </c>
      <c r="B86">
        <f t="shared" si="23"/>
        <v>6.19591884457987</v>
      </c>
      <c r="C86" s="1">
        <f t="shared" si="24"/>
        <v>0.004201962640414074</v>
      </c>
      <c r="D86" s="1">
        <f t="shared" si="25"/>
        <v>-6.222969106700876</v>
      </c>
      <c r="E86">
        <f t="shared" si="26"/>
        <v>1.3400652034161025</v>
      </c>
      <c r="F86">
        <f t="shared" si="27"/>
        <v>151.83809308807844</v>
      </c>
      <c r="G86">
        <f t="shared" si="21"/>
        <v>1.1751354463076131</v>
      </c>
      <c r="H86">
        <f t="shared" si="22"/>
        <v>-2.9961910216412457</v>
      </c>
      <c r="J86">
        <f t="shared" si="28"/>
        <v>0.35932315102605794</v>
      </c>
      <c r="K86">
        <f t="shared" si="35"/>
        <v>-0.44559185791712164</v>
      </c>
      <c r="L86" s="9">
        <f t="shared" si="36"/>
        <v>1.6727142326411095</v>
      </c>
      <c r="N86" s="8">
        <v>12700</v>
      </c>
      <c r="O86">
        <f t="shared" si="29"/>
        <v>-81520.89529778148</v>
      </c>
      <c r="P86">
        <f t="shared" si="30"/>
        <v>-59165.5958069387</v>
      </c>
      <c r="Q86">
        <f t="shared" si="31"/>
        <v>-22355.29949084278</v>
      </c>
      <c r="R86" s="1">
        <f t="shared" si="32"/>
        <v>-42314.783718305065</v>
      </c>
      <c r="S86">
        <f t="shared" si="37"/>
        <v>-776.6913634527606</v>
      </c>
      <c r="T86">
        <f t="shared" si="38"/>
        <v>-21132.465668114564</v>
      </c>
      <c r="U86">
        <f t="shared" si="39"/>
        <v>0</v>
      </c>
      <c r="V86">
        <f t="shared" si="33"/>
        <v>499759415.3252754</v>
      </c>
    </row>
    <row r="87" spans="1:22" ht="12.75">
      <c r="A87">
        <f t="shared" si="34"/>
        <v>360</v>
      </c>
      <c r="B87">
        <f t="shared" si="23"/>
        <v>6.283185307179586</v>
      </c>
      <c r="C87" s="1">
        <f t="shared" si="24"/>
        <v>0.00024334836944916365</v>
      </c>
      <c r="D87" s="1">
        <f t="shared" si="25"/>
        <v>-1.511368674356833</v>
      </c>
      <c r="E87">
        <f t="shared" si="26"/>
        <v>1.3142774801045491</v>
      </c>
      <c r="F87">
        <f t="shared" si="27"/>
        <v>149.40212952083508</v>
      </c>
      <c r="G87">
        <f t="shared" si="21"/>
        <v>1.1777595832085905</v>
      </c>
      <c r="H87">
        <f t="shared" si="22"/>
        <v>-3.1066210706515385</v>
      </c>
      <c r="J87">
        <f t="shared" si="28"/>
        <v>0.020809490799972963</v>
      </c>
      <c r="K87">
        <f t="shared" si="35"/>
        <v>-0.203108196135651</v>
      </c>
      <c r="L87" s="9">
        <f t="shared" si="36"/>
        <v>1.7458308742973292</v>
      </c>
      <c r="N87" s="8">
        <v>13000</v>
      </c>
      <c r="O87">
        <f t="shared" si="29"/>
        <v>-20252.340236381562</v>
      </c>
      <c r="P87">
        <f t="shared" si="30"/>
        <v>-1.6633818036865145E-10</v>
      </c>
      <c r="Q87">
        <f t="shared" si="31"/>
        <v>-20252.340236381395</v>
      </c>
      <c r="R87" s="1">
        <f t="shared" si="32"/>
        <v>-212128.61753018448</v>
      </c>
      <c r="S87">
        <f t="shared" si="37"/>
        <v>-362.491711158766</v>
      </c>
      <c r="T87">
        <f t="shared" si="38"/>
        <v>-21303.819863612087</v>
      </c>
      <c r="U87">
        <f t="shared" si="39"/>
        <v>0</v>
      </c>
      <c r="V87">
        <f t="shared" si="33"/>
        <v>410157285.05015284</v>
      </c>
    </row>
    <row r="88" spans="17:22" ht="12.75">
      <c r="Q88" s="16"/>
      <c r="R88" s="16"/>
      <c r="S88" s="16"/>
      <c r="T88" s="16">
        <f>SUM(T15:T87)</f>
        <v>-521945.7358561171</v>
      </c>
      <c r="U88" s="19">
        <f>SUM(U15:U87)</f>
        <v>5476502.212345901</v>
      </c>
      <c r="V88" s="23">
        <f>SUM(V15:V87)</f>
        <v>855379222525.9646</v>
      </c>
    </row>
    <row r="89" spans="18:21" ht="12.75">
      <c r="R89" s="7" t="s">
        <v>80</v>
      </c>
      <c r="S89">
        <f>SUM(S16:S87)</f>
        <v>36127.83849463717</v>
      </c>
      <c r="T89" t="s">
        <v>68</v>
      </c>
      <c r="U89" s="10"/>
    </row>
    <row r="90" spans="18:22" ht="12.75">
      <c r="R90" s="7" t="s">
        <v>70</v>
      </c>
      <c r="S90" s="5">
        <f>S89*E11/33000</f>
        <v>6.56869790811585</v>
      </c>
      <c r="T90" t="s">
        <v>69</v>
      </c>
      <c r="U90" s="20"/>
      <c r="V90" s="21"/>
    </row>
    <row r="91" spans="18:19" ht="12.75">
      <c r="R91" s="10" t="s">
        <v>104</v>
      </c>
      <c r="S91" s="5">
        <f>SQRT(SUM(V15:V87)/73)/SUM(Q15:Q87)*73</f>
        <v>1.5949093176191367</v>
      </c>
    </row>
    <row r="92" spans="15:20" ht="12.75">
      <c r="O92" s="17"/>
      <c r="P92" s="10"/>
      <c r="Q92" s="16"/>
      <c r="R92" s="10" t="s">
        <v>91</v>
      </c>
      <c r="S92" s="5">
        <f>S90*S91/0.9/0.9</f>
        <v>12.933922837381854</v>
      </c>
      <c r="T92" s="10" t="s">
        <v>107</v>
      </c>
    </row>
    <row r="93" spans="15:20" ht="12.75">
      <c r="O93" s="10"/>
      <c r="P93" s="10"/>
      <c r="Q93" s="16"/>
      <c r="R93" s="10"/>
      <c r="T93" s="1"/>
    </row>
    <row r="94" spans="15:20" ht="12.75">
      <c r="O94" s="10" t="s">
        <v>112</v>
      </c>
      <c r="Q94" s="5"/>
      <c r="R94" s="10"/>
      <c r="S94" s="20">
        <f>-100*T88/(U88-T88)</f>
        <v>8.70134642099488</v>
      </c>
      <c r="T94" s="22" t="s">
        <v>101</v>
      </c>
    </row>
    <row r="95" ht="12.75">
      <c r="R95" s="10"/>
    </row>
  </sheetData>
  <sheetProtection/>
  <mergeCells count="3">
    <mergeCell ref="E1:H1"/>
    <mergeCell ref="F2:G2"/>
    <mergeCell ref="J12:L12"/>
  </mergeCells>
  <printOptions gridLines="1"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5"/>
  <sheetViews>
    <sheetView zoomScalePageLayoutView="0" workbookViewId="0" topLeftCell="O7">
      <selection activeCell="R91" sqref="R91"/>
    </sheetView>
  </sheetViews>
  <sheetFormatPr defaultColWidth="9.140625" defaultRowHeight="12.75"/>
  <cols>
    <col min="2" max="2" width="12.421875" style="0" bestFit="1" customWidth="1"/>
    <col min="4" max="4" width="9.28125" style="0" customWidth="1"/>
    <col min="10" max="10" width="9.140625" style="13" customWidth="1"/>
    <col min="11" max="11" width="11.140625" style="13" customWidth="1"/>
    <col min="12" max="14" width="9.140625" style="13" customWidth="1"/>
    <col min="15" max="15" width="10.421875" style="0" customWidth="1"/>
    <col min="17" max="17" width="12.28125" style="0" customWidth="1"/>
    <col min="19" max="19" width="10.28125" style="0" customWidth="1"/>
  </cols>
  <sheetData>
    <row r="1" spans="1:6" ht="12.75">
      <c r="A1" t="s">
        <v>22</v>
      </c>
      <c r="D1" s="48" t="s">
        <v>87</v>
      </c>
      <c r="E1" s="49"/>
      <c r="F1" s="50"/>
    </row>
    <row r="2" spans="1:6" ht="12.75">
      <c r="A2" t="s">
        <v>0</v>
      </c>
      <c r="D2" s="10" t="s">
        <v>23</v>
      </c>
      <c r="E2" s="48" t="s">
        <v>133</v>
      </c>
      <c r="F2" s="50"/>
    </row>
    <row r="3" spans="1:6" ht="12.75">
      <c r="A3" t="s">
        <v>1</v>
      </c>
      <c r="B3" s="11">
        <v>312</v>
      </c>
      <c r="C3" t="s">
        <v>7</v>
      </c>
      <c r="D3" s="10" t="s">
        <v>34</v>
      </c>
      <c r="E3" s="11">
        <v>320000</v>
      </c>
      <c r="F3" s="10" t="s">
        <v>71</v>
      </c>
    </row>
    <row r="4" spans="1:6" ht="12.75">
      <c r="A4" t="s">
        <v>2</v>
      </c>
      <c r="B4" s="11">
        <v>182.38</v>
      </c>
      <c r="C4" t="s">
        <v>7</v>
      </c>
      <c r="D4" s="10" t="s">
        <v>92</v>
      </c>
      <c r="E4" s="11">
        <v>25600</v>
      </c>
      <c r="F4" s="10" t="s">
        <v>93</v>
      </c>
    </row>
    <row r="5" spans="1:13" ht="12.75">
      <c r="A5" t="s">
        <v>3</v>
      </c>
      <c r="B5" s="11">
        <v>258</v>
      </c>
      <c r="C5" t="s">
        <v>7</v>
      </c>
      <c r="K5" s="13" t="s">
        <v>31</v>
      </c>
      <c r="L5" s="11">
        <v>13900</v>
      </c>
      <c r="M5" s="13" t="s">
        <v>37</v>
      </c>
    </row>
    <row r="6" spans="1:15" ht="12.75">
      <c r="A6" t="s">
        <v>4</v>
      </c>
      <c r="B6" s="11">
        <v>186</v>
      </c>
      <c r="C6" t="s">
        <v>7</v>
      </c>
      <c r="K6" s="13" t="s">
        <v>38</v>
      </c>
      <c r="L6" s="14">
        <f>C33</f>
        <v>65.79910733122175</v>
      </c>
      <c r="M6" s="13" t="s">
        <v>39</v>
      </c>
      <c r="N6" s="13">
        <f>A33</f>
        <v>90</v>
      </c>
      <c r="O6" t="s">
        <v>28</v>
      </c>
    </row>
    <row r="7" spans="1:13" ht="12.75">
      <c r="A7" t="s">
        <v>5</v>
      </c>
      <c r="B7" s="11">
        <v>244.6978</v>
      </c>
      <c r="C7" t="s">
        <v>7</v>
      </c>
      <c r="D7" t="s">
        <v>24</v>
      </c>
      <c r="K7" s="13" t="s">
        <v>40</v>
      </c>
      <c r="L7" s="11">
        <v>-4010</v>
      </c>
      <c r="M7" s="13" t="s">
        <v>37</v>
      </c>
    </row>
    <row r="8" spans="1:13" ht="12.75">
      <c r="A8" t="s">
        <v>6</v>
      </c>
      <c r="B8" s="11">
        <v>53.75</v>
      </c>
      <c r="C8" t="s">
        <v>7</v>
      </c>
      <c r="K8" s="13" t="s">
        <v>41</v>
      </c>
      <c r="L8" s="13">
        <f>ABS(L6*(L5-L7)/SIN(RADIANS((N6+B9))))</f>
        <v>1280234.436442403</v>
      </c>
      <c r="M8" s="13" t="s">
        <v>33</v>
      </c>
    </row>
    <row r="9" spans="1:6" ht="12.75">
      <c r="A9" t="s">
        <v>27</v>
      </c>
      <c r="B9" s="11">
        <v>23</v>
      </c>
      <c r="C9" t="s">
        <v>28</v>
      </c>
      <c r="D9" t="s">
        <v>66</v>
      </c>
      <c r="E9" s="11">
        <v>6</v>
      </c>
      <c r="F9" t="s">
        <v>67</v>
      </c>
    </row>
    <row r="10" spans="1:5" ht="12.75">
      <c r="A10" t="s">
        <v>8</v>
      </c>
      <c r="B10">
        <f>DEGREES(ASIN($B$6/B7))+180</f>
        <v>229.47488904845318</v>
      </c>
      <c r="D10" t="s">
        <v>64</v>
      </c>
      <c r="E10" s="11">
        <v>1</v>
      </c>
    </row>
    <row r="11" spans="1:21" ht="12.75">
      <c r="A11" t="s">
        <v>9</v>
      </c>
      <c r="B11">
        <f>DEGREES(ACOS((B5^2+B7^2-(B4-B8)^2)/(2*B5*B7)))</f>
        <v>29.49936558948438</v>
      </c>
      <c r="D11" s="10" t="s">
        <v>96</v>
      </c>
      <c r="M11" s="15" t="s">
        <v>13</v>
      </c>
      <c r="N11" s="13" t="s">
        <v>29</v>
      </c>
      <c r="O11" t="s">
        <v>31</v>
      </c>
      <c r="P11" t="s">
        <v>34</v>
      </c>
      <c r="Q11" s="10" t="s">
        <v>83</v>
      </c>
      <c r="R11" s="10" t="s">
        <v>80</v>
      </c>
      <c r="S11" s="10" t="s">
        <v>102</v>
      </c>
      <c r="T11" s="10" t="s">
        <v>109</v>
      </c>
      <c r="U11" s="10" t="s">
        <v>110</v>
      </c>
    </row>
    <row r="12" spans="1:21" ht="12.75">
      <c r="A12" t="s">
        <v>10</v>
      </c>
      <c r="B12">
        <f>DEGREES(ACOS((B5^2+B7^2-(B4+B8)^2)/(2*B5*B7)))</f>
        <v>55.95747774222555</v>
      </c>
      <c r="D12" t="s">
        <v>65</v>
      </c>
      <c r="I12" s="51" t="s">
        <v>82</v>
      </c>
      <c r="J12" s="52"/>
      <c r="K12" s="53"/>
      <c r="M12" s="15" t="s">
        <v>76</v>
      </c>
      <c r="N12" s="13" t="s">
        <v>32</v>
      </c>
      <c r="O12" t="s">
        <v>32</v>
      </c>
      <c r="P12" t="s">
        <v>32</v>
      </c>
      <c r="Q12" s="10" t="s">
        <v>76</v>
      </c>
      <c r="R12" s="10" t="s">
        <v>79</v>
      </c>
      <c r="S12" s="10" t="s">
        <v>78</v>
      </c>
      <c r="T12" s="10" t="s">
        <v>78</v>
      </c>
      <c r="U12" s="10" t="s">
        <v>111</v>
      </c>
    </row>
    <row r="13" spans="1:20" ht="12.75">
      <c r="A13" t="s">
        <v>11</v>
      </c>
      <c r="B13" s="10" t="s">
        <v>73</v>
      </c>
      <c r="C13" s="10" t="s">
        <v>32</v>
      </c>
      <c r="I13" t="s">
        <v>18</v>
      </c>
      <c r="J13" s="13" t="s">
        <v>19</v>
      </c>
      <c r="K13" s="13" t="s">
        <v>21</v>
      </c>
      <c r="M13" s="15" t="s">
        <v>85</v>
      </c>
      <c r="N13" s="15" t="s">
        <v>89</v>
      </c>
      <c r="O13" s="10" t="s">
        <v>89</v>
      </c>
      <c r="P13" s="10" t="s">
        <v>89</v>
      </c>
      <c r="Q13" s="10" t="s">
        <v>85</v>
      </c>
      <c r="S13" s="10" t="s">
        <v>89</v>
      </c>
      <c r="T13" s="10" t="s">
        <v>89</v>
      </c>
    </row>
    <row r="14" spans="1:11" ht="12.75">
      <c r="A14" t="s">
        <v>12</v>
      </c>
      <c r="B14" s="10" t="s">
        <v>18</v>
      </c>
      <c r="C14" s="10" t="s">
        <v>94</v>
      </c>
      <c r="D14" t="s">
        <v>14</v>
      </c>
      <c r="E14" t="s">
        <v>15</v>
      </c>
      <c r="F14" t="s">
        <v>16</v>
      </c>
      <c r="G14" t="s">
        <v>17</v>
      </c>
      <c r="I14" s="10" t="s">
        <v>88</v>
      </c>
      <c r="J14" s="13" t="s">
        <v>20</v>
      </c>
      <c r="K14" s="13" t="s">
        <v>26</v>
      </c>
    </row>
    <row r="15" spans="1:21" ht="12.75">
      <c r="A15">
        <f>IF(E10&gt;0,0,360)</f>
        <v>0</v>
      </c>
      <c r="B15" s="1">
        <f aca="true" t="shared" si="0" ref="B15:B46">($B$11-F15)/($B$11-$B$12)</f>
        <v>0.04870352046750652</v>
      </c>
      <c r="C15" s="1">
        <f>$E$10*$B$8*$B$3/$B$5*SIN(RADIANS(G15))/SIN(RADIANS(D15))</f>
        <v>24.90309806348898</v>
      </c>
      <c r="D15">
        <f aca="true" t="shared" si="1" ref="D15:D46">DEGREES(ACOS(($B$5^2+$B$4^2-$B$7^2-$B$8^2+2*$B$7*$B$8*COS(RADIANS(A15-$B$10)))/(2*$B$5*$B$4)))</f>
        <v>77.74984379442859</v>
      </c>
      <c r="E15">
        <f>SQRT($B$8^2+$B$7^2-2*$B$8*$B$7*COS(RADIANS($B$10-A15)))</f>
        <v>282.59260487370466</v>
      </c>
      <c r="F15">
        <f aca="true" t="shared" si="2" ref="F15:F46">DEGREES(ASIN($B$4*SIN(RADIANS(D15))/E15))-DEGREES(ASIN($B$8*SIN(RADIANS(A15-$B$10))/E15))</f>
        <v>30.787968796246993</v>
      </c>
      <c r="G15">
        <f>-D15-F15+(A15-$B$10)</f>
        <v>-338.01270163912875</v>
      </c>
      <c r="I15">
        <f>-$B$3*B15*($B$11-$B$12)*2*3.1415/360</f>
        <v>7.01678808834423</v>
      </c>
      <c r="J15" s="13">
        <f>(I15-I86)/10*$E$9</f>
        <v>1.2068646803080614</v>
      </c>
      <c r="K15" s="13">
        <f>(J15-J86)/0.8333*$E$9</f>
        <v>1.4169727687886218</v>
      </c>
      <c r="M15" s="11">
        <v>14500</v>
      </c>
      <c r="N15" s="13">
        <f>C15*(M15-$L$7)</f>
        <v>460956.345155181</v>
      </c>
      <c r="O15">
        <f>$E$10*$L$8*SIN(RADIANS((A15+$B$9)))</f>
        <v>500227.44608196954</v>
      </c>
      <c r="P15">
        <f>N15-O15</f>
        <v>-39271.100926788524</v>
      </c>
      <c r="Q15">
        <f>IF(($E$3+O15)/C15+$L$7&lt;$E$4,($E$3+O15)/C15+$L$7,$E$4)</f>
        <v>25600</v>
      </c>
      <c r="S15">
        <f>IF(P15&lt;0,(P87+P15)/2,0)</f>
        <v>-42383.98818472444</v>
      </c>
      <c r="T15">
        <f>IF(P15&gt;=0,(P87+P15)/2,0)</f>
        <v>0</v>
      </c>
      <c r="U15">
        <f>P15^2</f>
        <v>1542219368.0020103</v>
      </c>
    </row>
    <row r="16" spans="1:21" ht="12.75">
      <c r="A16">
        <f>A15+$E$10*5</f>
        <v>5</v>
      </c>
      <c r="B16" s="1">
        <f t="shared" si="0"/>
        <v>0.06489381196487666</v>
      </c>
      <c r="C16" s="1">
        <f aca="true" t="shared" si="3" ref="C16:C79">$E$10*$B$8*$B$3/$B$5*SIN(RADIANS(G16))/SIN(RADIANS(D16))</f>
        <v>28.543625253756385</v>
      </c>
      <c r="D16">
        <f t="shared" si="1"/>
        <v>78.79303295471465</v>
      </c>
      <c r="E16">
        <f aca="true" t="shared" si="4" ref="E16:E79">SQRT($B$8^2+$B$7^2-2*$B$8*$B$7*COS(RADIANS($B$10-A16)))</f>
        <v>285.5454732009203</v>
      </c>
      <c r="F16">
        <f t="shared" si="2"/>
        <v>31.216333344469984</v>
      </c>
      <c r="G16">
        <f aca="true" t="shared" si="5" ref="G16:G79">-D16-F16+(A16-$B$10)</f>
        <v>-334.4842553476378</v>
      </c>
      <c r="I16">
        <f>-$B$3*B16*($B$11-$B$12)*2*3.1415/360</f>
        <v>9.349347283964606</v>
      </c>
      <c r="J16" s="13">
        <f>(I16-I15)/10*$E$9</f>
        <v>1.3995355173722261</v>
      </c>
      <c r="K16" s="13">
        <f>(J16-J15)/0.8333*$E$9</f>
        <v>1.3872855182827175</v>
      </c>
      <c r="M16" s="11">
        <v>14500</v>
      </c>
      <c r="N16" s="13">
        <f aca="true" t="shared" si="6" ref="N16:N79">C16*(M16-$L$7)</f>
        <v>528342.5034470307</v>
      </c>
      <c r="O16">
        <f aca="true" t="shared" si="7" ref="O16:O79">$E$10*$L$8*SIN(RADIANS((A16+$B$9)))</f>
        <v>601033.661608929</v>
      </c>
      <c r="P16">
        <f aca="true" t="shared" si="8" ref="P16:P79">N16-O16</f>
        <v>-72691.15816189838</v>
      </c>
      <c r="Q16">
        <f aca="true" t="shared" si="9" ref="Q16:Q79">IF(($E$3+O16)/C16+$L$7&lt;$E$4,($E$3+O16)/C16+$L$7,$E$4)</f>
        <v>25600</v>
      </c>
      <c r="R16">
        <f>(M16+M15)/2*(I16-I15)/12</f>
        <v>2818.5090280412883</v>
      </c>
      <c r="S16">
        <f>IF(P16&lt;0,(P15+P16)/2,0)</f>
        <v>-55981.12954434345</v>
      </c>
      <c r="T16">
        <f>IF(P16&gt;=0,(P15+P16)/2,0)</f>
        <v>0</v>
      </c>
      <c r="U16">
        <f aca="true" t="shared" si="10" ref="U16:U79">P16^2</f>
        <v>5284004474.918125</v>
      </c>
    </row>
    <row r="17" spans="1:21" ht="12.75">
      <c r="A17">
        <f aca="true" t="shared" si="11" ref="A17:A80">A16+$E$10*5</f>
        <v>10</v>
      </c>
      <c r="B17" s="1">
        <f t="shared" si="0"/>
        <v>0.0832649312420894</v>
      </c>
      <c r="C17" s="1">
        <f t="shared" si="3"/>
        <v>32.103535934172115</v>
      </c>
      <c r="D17">
        <f t="shared" si="1"/>
        <v>79.74409943332361</v>
      </c>
      <c r="E17">
        <f t="shared" si="4"/>
        <v>288.2204054047601</v>
      </c>
      <c r="F17">
        <f t="shared" si="2"/>
        <v>31.702398478677864</v>
      </c>
      <c r="G17">
        <f t="shared" si="5"/>
        <v>-330.92138696045464</v>
      </c>
      <c r="I17">
        <f aca="true" t="shared" si="12" ref="I17:I80">-$B$3*B17*($B$11-$B$12)*2*3.1415/360</f>
        <v>11.996101557095635</v>
      </c>
      <c r="J17" s="13">
        <f aca="true" t="shared" si="13" ref="J17:J80">(I17-I16)/10*$E$9</f>
        <v>1.588052563878617</v>
      </c>
      <c r="K17" s="13">
        <f aca="true" t="shared" si="14" ref="K17:K80">(J17-J16)/0.8333*$E$9</f>
        <v>1.3573770299272108</v>
      </c>
      <c r="M17" s="11">
        <v>15375</v>
      </c>
      <c r="N17" s="13">
        <f t="shared" si="6"/>
        <v>622327.0440839265</v>
      </c>
      <c r="O17">
        <f t="shared" si="7"/>
        <v>697265.6480569973</v>
      </c>
      <c r="P17">
        <f t="shared" si="8"/>
        <v>-74938.60397307086</v>
      </c>
      <c r="Q17">
        <f t="shared" si="9"/>
        <v>25600</v>
      </c>
      <c r="R17">
        <f aca="true" t="shared" si="15" ref="R17:R80">(M17+M16)/2*(I17-I16)/12</f>
        <v>3294.657662907895</v>
      </c>
      <c r="S17">
        <f aca="true" t="shared" si="16" ref="S17:S80">IF(P17&lt;0,(P16+P17)/2,0)</f>
        <v>-73814.88106748462</v>
      </c>
      <c r="T17">
        <f aca="true" t="shared" si="17" ref="T17:T80">IF(P17&gt;=0,(P16+P17)/2,0)</f>
        <v>0</v>
      </c>
      <c r="U17">
        <f t="shared" si="10"/>
        <v>5615794365.432752</v>
      </c>
    </row>
    <row r="18" spans="1:21" ht="12.75">
      <c r="A18">
        <f t="shared" si="11"/>
        <v>15</v>
      </c>
      <c r="B18" s="1">
        <f t="shared" si="0"/>
        <v>0.10376665819083346</v>
      </c>
      <c r="C18" s="1">
        <f t="shared" si="3"/>
        <v>35.577725939371255</v>
      </c>
      <c r="D18">
        <f t="shared" si="1"/>
        <v>80.59696531170785</v>
      </c>
      <c r="E18">
        <f t="shared" si="4"/>
        <v>290.6049796002997</v>
      </c>
      <c r="F18">
        <f t="shared" si="2"/>
        <v>32.24483546961261</v>
      </c>
      <c r="G18">
        <f t="shared" si="5"/>
        <v>-327.3166898297736</v>
      </c>
      <c r="I18">
        <f t="shared" si="12"/>
        <v>14.949815622599576</v>
      </c>
      <c r="J18" s="13">
        <f t="shared" si="13"/>
        <v>1.772228439302365</v>
      </c>
      <c r="K18" s="13">
        <f t="shared" si="14"/>
        <v>1.3261193478248996</v>
      </c>
      <c r="M18" s="11">
        <v>16250</v>
      </c>
      <c r="N18" s="13">
        <f t="shared" si="6"/>
        <v>720804.7275316616</v>
      </c>
      <c r="O18">
        <f t="shared" si="7"/>
        <v>788191.0219028424</v>
      </c>
      <c r="P18">
        <f t="shared" si="8"/>
        <v>-67386.29437118082</v>
      </c>
      <c r="Q18">
        <f t="shared" si="9"/>
        <v>25600</v>
      </c>
      <c r="R18">
        <f t="shared" si="15"/>
        <v>3892.133638398423</v>
      </c>
      <c r="S18">
        <f t="shared" si="16"/>
        <v>-71162.44917212584</v>
      </c>
      <c r="T18">
        <f t="shared" si="17"/>
        <v>0</v>
      </c>
      <c r="U18">
        <f t="shared" si="10"/>
        <v>4540912669.079435</v>
      </c>
    </row>
    <row r="19" spans="1:21" ht="12.75">
      <c r="A19">
        <f t="shared" si="11"/>
        <v>20</v>
      </c>
      <c r="B19" s="1">
        <f t="shared" si="0"/>
        <v>0.12634474901633033</v>
      </c>
      <c r="C19" s="1">
        <f t="shared" si="3"/>
        <v>38.95801193452198</v>
      </c>
      <c r="D19">
        <f t="shared" si="1"/>
        <v>81.34611077153318</v>
      </c>
      <c r="E19">
        <f t="shared" si="4"/>
        <v>292.6883478108295</v>
      </c>
      <c r="F19">
        <f t="shared" si="2"/>
        <v>32.84220912886838</v>
      </c>
      <c r="G19">
        <f t="shared" si="5"/>
        <v>-323.66320894885473</v>
      </c>
      <c r="I19">
        <f t="shared" si="12"/>
        <v>18.20267449688973</v>
      </c>
      <c r="J19" s="13">
        <f t="shared" si="13"/>
        <v>1.951715324574093</v>
      </c>
      <c r="K19" s="13">
        <f t="shared" si="14"/>
        <v>1.2923572682471711</v>
      </c>
      <c r="M19" s="11">
        <v>17800</v>
      </c>
      <c r="N19" s="13">
        <f t="shared" si="6"/>
        <v>849674.2402919243</v>
      </c>
      <c r="O19">
        <f t="shared" si="7"/>
        <v>873117.7861492557</v>
      </c>
      <c r="P19">
        <f t="shared" si="8"/>
        <v>-23443.545857331366</v>
      </c>
      <c r="Q19">
        <f t="shared" si="9"/>
        <v>25600</v>
      </c>
      <c r="R19">
        <f t="shared" si="15"/>
        <v>4614.993527899157</v>
      </c>
      <c r="S19">
        <f t="shared" si="16"/>
        <v>-45414.92011425609</v>
      </c>
      <c r="T19">
        <f t="shared" si="17"/>
        <v>0</v>
      </c>
      <c r="U19">
        <f t="shared" si="10"/>
        <v>549599842.3647987</v>
      </c>
    </row>
    <row r="20" spans="1:21" ht="12.75">
      <c r="A20">
        <f t="shared" si="11"/>
        <v>25</v>
      </c>
      <c r="B20" s="1">
        <f t="shared" si="0"/>
        <v>0.15093907525844127</v>
      </c>
      <c r="C20" s="1">
        <f t="shared" si="3"/>
        <v>42.233155816469704</v>
      </c>
      <c r="D20">
        <f t="shared" si="1"/>
        <v>81.98662564547523</v>
      </c>
      <c r="E20">
        <f t="shared" si="4"/>
        <v>294.4611993127475</v>
      </c>
      <c r="F20">
        <f t="shared" si="2"/>
        <v>33.49292857090326</v>
      </c>
      <c r="G20">
        <f t="shared" si="5"/>
        <v>-319.95444326483164</v>
      </c>
      <c r="I20">
        <f t="shared" si="12"/>
        <v>21.746015383954173</v>
      </c>
      <c r="J20" s="13">
        <f t="shared" si="13"/>
        <v>2.1260045322386656</v>
      </c>
      <c r="K20" s="13">
        <f t="shared" si="14"/>
        <v>1.2549324924846217</v>
      </c>
      <c r="M20" s="11">
        <v>18000</v>
      </c>
      <c r="N20" s="13">
        <f t="shared" si="6"/>
        <v>929551.7595204982</v>
      </c>
      <c r="O20">
        <f t="shared" si="7"/>
        <v>951399.5968401397</v>
      </c>
      <c r="P20">
        <f t="shared" si="8"/>
        <v>-21847.83731964149</v>
      </c>
      <c r="Q20">
        <f t="shared" si="9"/>
        <v>25600</v>
      </c>
      <c r="R20">
        <f t="shared" si="15"/>
        <v>5285.483489871126</v>
      </c>
      <c r="S20">
        <f t="shared" si="16"/>
        <v>-22645.69158848643</v>
      </c>
      <c r="T20">
        <f t="shared" si="17"/>
        <v>0</v>
      </c>
      <c r="U20">
        <f t="shared" si="10"/>
        <v>477327995.5455195</v>
      </c>
    </row>
    <row r="21" spans="1:21" ht="12.75">
      <c r="A21">
        <f t="shared" si="11"/>
        <v>30</v>
      </c>
      <c r="B21" s="1">
        <f t="shared" si="0"/>
        <v>0.1774817976137095</v>
      </c>
      <c r="C21" s="1">
        <f t="shared" si="3"/>
        <v>45.3889553288981</v>
      </c>
      <c r="D21">
        <f t="shared" si="1"/>
        <v>82.51426115868804</v>
      </c>
      <c r="E21">
        <f t="shared" si="4"/>
        <v>295.9157294568967</v>
      </c>
      <c r="F21">
        <f t="shared" si="2"/>
        <v>34.19519889581802</v>
      </c>
      <c r="G21">
        <f t="shared" si="5"/>
        <v>-316.18434910295923</v>
      </c>
      <c r="I21">
        <f t="shared" si="12"/>
        <v>25.57006457520167</v>
      </c>
      <c r="J21" s="13">
        <f t="shared" si="13"/>
        <v>2.294429514748498</v>
      </c>
      <c r="K21" s="13">
        <f t="shared" si="14"/>
        <v>1.2127083824060902</v>
      </c>
      <c r="M21" s="11">
        <v>18500</v>
      </c>
      <c r="N21" s="13">
        <f t="shared" si="6"/>
        <v>1021705.3844534962</v>
      </c>
      <c r="O21">
        <f t="shared" si="7"/>
        <v>1022440.6821282869</v>
      </c>
      <c r="P21">
        <f t="shared" si="8"/>
        <v>-735.2976747907232</v>
      </c>
      <c r="Q21">
        <f t="shared" si="9"/>
        <v>25566.373203583866</v>
      </c>
      <c r="R21">
        <f t="shared" si="15"/>
        <v>5815.741478355568</v>
      </c>
      <c r="S21">
        <f t="shared" si="16"/>
        <v>-11291.567497216107</v>
      </c>
      <c r="T21">
        <f t="shared" si="17"/>
        <v>0</v>
      </c>
      <c r="U21">
        <f t="shared" si="10"/>
        <v>540662.6705526442</v>
      </c>
    </row>
    <row r="22" spans="1:21" ht="12.75">
      <c r="A22">
        <f t="shared" si="11"/>
        <v>35</v>
      </c>
      <c r="B22" s="1">
        <f t="shared" si="0"/>
        <v>0.20589561463409847</v>
      </c>
      <c r="C22" s="1">
        <f t="shared" si="3"/>
        <v>48.40840039214375</v>
      </c>
      <c r="D22">
        <f t="shared" si="1"/>
        <v>82.92547933077819</v>
      </c>
      <c r="E22">
        <f t="shared" si="4"/>
        <v>297.0456137978326</v>
      </c>
      <c r="F22">
        <f t="shared" si="2"/>
        <v>34.946974853230934</v>
      </c>
      <c r="G22">
        <f t="shared" si="5"/>
        <v>-312.3473432324623</v>
      </c>
      <c r="I22">
        <f t="shared" si="12"/>
        <v>29.66368513690365</v>
      </c>
      <c r="J22" s="13">
        <f t="shared" si="13"/>
        <v>2.4561723370211874</v>
      </c>
      <c r="K22" s="13">
        <f t="shared" si="14"/>
        <v>1.1645949041595294</v>
      </c>
      <c r="M22" s="11">
        <v>19772</v>
      </c>
      <c r="N22" s="13">
        <f t="shared" si="6"/>
        <v>1151248.5781259625</v>
      </c>
      <c r="O22">
        <f t="shared" si="7"/>
        <v>1085700.3764588747</v>
      </c>
      <c r="P22">
        <f t="shared" si="8"/>
        <v>65548.20166708785</v>
      </c>
      <c r="Q22">
        <f t="shared" si="9"/>
        <v>25028.356257832624</v>
      </c>
      <c r="R22">
        <f t="shared" si="15"/>
        <v>6527.960255727422</v>
      </c>
      <c r="S22">
        <f t="shared" si="16"/>
        <v>0</v>
      </c>
      <c r="T22">
        <f t="shared" si="17"/>
        <v>32406.451996148564</v>
      </c>
      <c r="U22">
        <f t="shared" si="10"/>
        <v>4296566741.789219</v>
      </c>
    </row>
    <row r="23" spans="1:21" ht="12.75">
      <c r="A23">
        <f t="shared" si="11"/>
        <v>40</v>
      </c>
      <c r="B23" s="1">
        <f t="shared" si="0"/>
        <v>0.2360921252481736</v>
      </c>
      <c r="C23" s="1">
        <f t="shared" si="3"/>
        <v>51.271891765460374</v>
      </c>
      <c r="D23">
        <f t="shared" si="1"/>
        <v>83.21749748459204</v>
      </c>
      <c r="E23">
        <f t="shared" si="4"/>
        <v>297.8459873410324</v>
      </c>
      <c r="F23">
        <f t="shared" si="2"/>
        <v>35.74591751767957</v>
      </c>
      <c r="G23">
        <f t="shared" si="5"/>
        <v>-308.4383040507248</v>
      </c>
      <c r="I23">
        <f t="shared" si="12"/>
        <v>34.01414099620368</v>
      </c>
      <c r="J23" s="13">
        <f t="shared" si="13"/>
        <v>2.610273515580018</v>
      </c>
      <c r="K23" s="13">
        <f t="shared" si="14"/>
        <v>1.1095728685383222</v>
      </c>
      <c r="M23" s="11">
        <v>19000</v>
      </c>
      <c r="N23" s="13">
        <f t="shared" si="6"/>
        <v>1179766.2295232431</v>
      </c>
      <c r="O23">
        <f t="shared" si="7"/>
        <v>1140697.2353607994</v>
      </c>
      <c r="P23">
        <f t="shared" si="8"/>
        <v>39068.99416244379</v>
      </c>
      <c r="Q23">
        <f t="shared" si="9"/>
        <v>24479.240109232855</v>
      </c>
      <c r="R23">
        <f t="shared" si="15"/>
        <v>7028.1614406991985</v>
      </c>
      <c r="S23">
        <f t="shared" si="16"/>
        <v>0</v>
      </c>
      <c r="T23">
        <f t="shared" si="17"/>
        <v>52308.59791476582</v>
      </c>
      <c r="U23">
        <f t="shared" si="10"/>
        <v>1526386304.8650672</v>
      </c>
    </row>
    <row r="24" spans="1:21" ht="12.75">
      <c r="A24">
        <f t="shared" si="11"/>
        <v>45</v>
      </c>
      <c r="B24" s="1">
        <f t="shared" si="0"/>
        <v>0.26797034094972727</v>
      </c>
      <c r="C24" s="1">
        <f t="shared" si="3"/>
        <v>53.957515118654236</v>
      </c>
      <c r="D24">
        <f t="shared" si="1"/>
        <v>83.38832545377481</v>
      </c>
      <c r="E24">
        <f t="shared" si="4"/>
        <v>298.3134287242771</v>
      </c>
      <c r="F24">
        <f t="shared" si="2"/>
        <v>36.589354923940554</v>
      </c>
      <c r="G24">
        <f t="shared" si="5"/>
        <v>-304.45256942616857</v>
      </c>
      <c r="I24">
        <f t="shared" si="12"/>
        <v>38.60688258993639</v>
      </c>
      <c r="J24" s="13">
        <f t="shared" si="13"/>
        <v>2.7556449562396264</v>
      </c>
      <c r="K24" s="13">
        <f t="shared" si="14"/>
        <v>1.0467162413988356</v>
      </c>
      <c r="M24" s="11">
        <v>18000</v>
      </c>
      <c r="N24" s="13">
        <f t="shared" si="6"/>
        <v>1187604.9077615796</v>
      </c>
      <c r="O24">
        <f t="shared" si="7"/>
        <v>1187012.699529806</v>
      </c>
      <c r="P24">
        <f t="shared" si="8"/>
        <v>592.2082317736931</v>
      </c>
      <c r="Q24">
        <f t="shared" si="9"/>
        <v>23919.616406831163</v>
      </c>
      <c r="R24">
        <f t="shared" si="15"/>
        <v>7080.476623671263</v>
      </c>
      <c r="S24">
        <f t="shared" si="16"/>
        <v>0</v>
      </c>
      <c r="T24">
        <f t="shared" si="17"/>
        <v>19830.601197108743</v>
      </c>
      <c r="U24">
        <f t="shared" si="10"/>
        <v>350710.5897805242</v>
      </c>
    </row>
    <row r="25" spans="1:21" ht="12.75">
      <c r="A25">
        <f t="shared" si="11"/>
        <v>50</v>
      </c>
      <c r="B25" s="1">
        <f t="shared" si="0"/>
        <v>0.3014153781897922</v>
      </c>
      <c r="C25" s="1">
        <f t="shared" si="3"/>
        <v>56.4413599358981</v>
      </c>
      <c r="D25">
        <f t="shared" si="1"/>
        <v>83.43679340206265</v>
      </c>
      <c r="E25">
        <f t="shared" si="4"/>
        <v>298.44594917503224</v>
      </c>
      <c r="F25">
        <f t="shared" si="2"/>
        <v>37.4742474701908</v>
      </c>
      <c r="G25">
        <f t="shared" si="5"/>
        <v>-300.38592992070664</v>
      </c>
      <c r="I25">
        <f t="shared" si="12"/>
        <v>43.42535847561464</v>
      </c>
      <c r="J25" s="13">
        <f t="shared" si="13"/>
        <v>2.891085531406948</v>
      </c>
      <c r="K25" s="13">
        <f t="shared" si="14"/>
        <v>0.9752111496507028</v>
      </c>
      <c r="M25" s="11">
        <v>17750</v>
      </c>
      <c r="N25" s="13">
        <f t="shared" si="6"/>
        <v>1228163.9922051427</v>
      </c>
      <c r="O25">
        <f t="shared" si="7"/>
        <v>1224294.2803175263</v>
      </c>
      <c r="P25">
        <f t="shared" si="8"/>
        <v>3869.7118876164313</v>
      </c>
      <c r="Q25">
        <f t="shared" si="9"/>
        <v>23351.039529724672</v>
      </c>
      <c r="R25">
        <f t="shared" si="15"/>
        <v>7177.521371374888</v>
      </c>
      <c r="S25">
        <f t="shared" si="16"/>
        <v>0</v>
      </c>
      <c r="T25">
        <f t="shared" si="17"/>
        <v>2230.9600596950622</v>
      </c>
      <c r="U25">
        <f t="shared" si="10"/>
        <v>14974670.093159923</v>
      </c>
    </row>
    <row r="26" spans="1:21" ht="12.75">
      <c r="A26">
        <f t="shared" si="11"/>
        <v>55</v>
      </c>
      <c r="B26" s="1">
        <f t="shared" si="0"/>
        <v>0.3362973541005601</v>
      </c>
      <c r="C26" s="1">
        <f t="shared" si="3"/>
        <v>58.69786949830472</v>
      </c>
      <c r="D26">
        <f t="shared" si="1"/>
        <v>83.36256865147898</v>
      </c>
      <c r="E26">
        <f t="shared" si="4"/>
        <v>298.24298612437485</v>
      </c>
      <c r="F26">
        <f t="shared" si="2"/>
        <v>38.39715870094711</v>
      </c>
      <c r="G26">
        <f t="shared" si="5"/>
        <v>-296.2346164008793</v>
      </c>
      <c r="I26">
        <f t="shared" si="12"/>
        <v>48.45085623674428</v>
      </c>
      <c r="J26" s="13">
        <f t="shared" si="13"/>
        <v>3.0152986566777855</v>
      </c>
      <c r="K26" s="13">
        <f t="shared" si="14"/>
        <v>0.8943702767610996</v>
      </c>
      <c r="M26" s="11">
        <v>17500</v>
      </c>
      <c r="N26" s="13">
        <f t="shared" si="6"/>
        <v>1262591.1729085345</v>
      </c>
      <c r="O26">
        <f t="shared" si="7"/>
        <v>1252258.242382932</v>
      </c>
      <c r="P26">
        <f t="shared" si="8"/>
        <v>10332.93052560254</v>
      </c>
      <c r="Q26">
        <f t="shared" si="9"/>
        <v>22775.610036976574</v>
      </c>
      <c r="R26">
        <f t="shared" si="15"/>
        <v>7381.199836659162</v>
      </c>
      <c r="S26">
        <f t="shared" si="16"/>
        <v>0</v>
      </c>
      <c r="T26">
        <f t="shared" si="17"/>
        <v>7101.321206609486</v>
      </c>
      <c r="U26">
        <f t="shared" si="10"/>
        <v>106769453.24692878</v>
      </c>
    </row>
    <row r="27" spans="1:21" ht="12.75">
      <c r="A27">
        <f t="shared" si="11"/>
        <v>60</v>
      </c>
      <c r="B27" s="1">
        <f t="shared" si="0"/>
        <v>0.37247049963641526</v>
      </c>
      <c r="C27" s="1">
        <f t="shared" si="3"/>
        <v>60.700206052369985</v>
      </c>
      <c r="D27">
        <f t="shared" si="1"/>
        <v>83.16616053269928</v>
      </c>
      <c r="E27">
        <f t="shared" si="4"/>
        <v>297.7054014050513</v>
      </c>
      <c r="F27">
        <f t="shared" si="2"/>
        <v>39.354231842452194</v>
      </c>
      <c r="G27">
        <f t="shared" si="5"/>
        <v>-291.99528142360464</v>
      </c>
      <c r="I27">
        <f t="shared" si="12"/>
        <v>53.66237471174387</v>
      </c>
      <c r="J27" s="13">
        <f t="shared" si="13"/>
        <v>3.1269110849997563</v>
      </c>
      <c r="K27" s="13">
        <f t="shared" si="14"/>
        <v>0.8036416295833733</v>
      </c>
      <c r="M27" s="11">
        <v>16900</v>
      </c>
      <c r="N27" s="13">
        <f t="shared" si="6"/>
        <v>1269241.3085550563</v>
      </c>
      <c r="O27">
        <f t="shared" si="7"/>
        <v>1270691.7630896035</v>
      </c>
      <c r="P27">
        <f t="shared" si="8"/>
        <v>-1450.4545345471706</v>
      </c>
      <c r="Q27">
        <f t="shared" si="9"/>
        <v>22195.70615060534</v>
      </c>
      <c r="R27">
        <f t="shared" si="15"/>
        <v>7469.843147499417</v>
      </c>
      <c r="S27">
        <f t="shared" si="16"/>
        <v>4441.237995527685</v>
      </c>
      <c r="T27">
        <f t="shared" si="17"/>
        <v>0</v>
      </c>
      <c r="U27">
        <f t="shared" si="10"/>
        <v>2103818.3567884495</v>
      </c>
    </row>
    <row r="28" spans="1:21" ht="12.75">
      <c r="A28">
        <f t="shared" si="11"/>
        <v>65</v>
      </c>
      <c r="B28" s="1">
        <f t="shared" si="0"/>
        <v>0.4097724943080191</v>
      </c>
      <c r="C28" s="1">
        <f t="shared" si="3"/>
        <v>62.420614611654734</v>
      </c>
      <c r="D28">
        <f t="shared" si="1"/>
        <v>82.84891297081171</v>
      </c>
      <c r="E28">
        <f t="shared" si="4"/>
        <v>296.8354840127949</v>
      </c>
      <c r="F28">
        <f t="shared" si="2"/>
        <v>40.34117220099444</v>
      </c>
      <c r="G28">
        <f t="shared" si="5"/>
        <v>-287.6649742202593</v>
      </c>
      <c r="I28">
        <f t="shared" si="12"/>
        <v>59.036528148102015</v>
      </c>
      <c r="J28" s="13">
        <f t="shared" si="13"/>
        <v>3.2244920618148853</v>
      </c>
      <c r="K28" s="13">
        <f t="shared" si="14"/>
        <v>0.7026111375144294</v>
      </c>
      <c r="M28" s="11">
        <v>16400</v>
      </c>
      <c r="N28" s="13">
        <f t="shared" si="6"/>
        <v>1274004.7442238731</v>
      </c>
      <c r="O28">
        <f t="shared" si="7"/>
        <v>1279454.552214499</v>
      </c>
      <c r="P28">
        <f t="shared" si="8"/>
        <v>-5449.807990625966</v>
      </c>
      <c r="Q28">
        <f t="shared" si="9"/>
        <v>21613.819345025488</v>
      </c>
      <c r="R28">
        <f t="shared" si="15"/>
        <v>7456.637892946922</v>
      </c>
      <c r="S28">
        <f t="shared" si="16"/>
        <v>-3450.1312625865685</v>
      </c>
      <c r="T28">
        <f t="shared" si="17"/>
        <v>0</v>
      </c>
      <c r="U28">
        <f t="shared" si="10"/>
        <v>29700407.13469063</v>
      </c>
    </row>
    <row r="29" spans="1:21" ht="12.75">
      <c r="A29">
        <f t="shared" si="11"/>
        <v>70</v>
      </c>
      <c r="B29" s="1">
        <f t="shared" si="0"/>
        <v>0.4480240168953084</v>
      </c>
      <c r="C29" s="1">
        <f t="shared" si="3"/>
        <v>63.830769917505386</v>
      </c>
      <c r="D29">
        <f t="shared" si="1"/>
        <v>82.41298524440673</v>
      </c>
      <c r="E29">
        <f t="shared" si="4"/>
        <v>295.6369574628082</v>
      </c>
      <c r="F29">
        <f t="shared" si="2"/>
        <v>41.353235275622055</v>
      </c>
      <c r="G29">
        <f t="shared" si="5"/>
        <v>-283.241109568482</v>
      </c>
      <c r="I29">
        <f t="shared" si="12"/>
        <v>64.54748147293596</v>
      </c>
      <c r="J29" s="13">
        <f t="shared" si="13"/>
        <v>3.3065719949003647</v>
      </c>
      <c r="K29" s="13">
        <f t="shared" si="14"/>
        <v>0.5909991581817785</v>
      </c>
      <c r="M29" s="11">
        <v>16000</v>
      </c>
      <c r="N29" s="13">
        <f t="shared" si="6"/>
        <v>1277253.7060492828</v>
      </c>
      <c r="O29">
        <f t="shared" si="7"/>
        <v>1278479.9196412608</v>
      </c>
      <c r="P29">
        <f t="shared" si="8"/>
        <v>-1226.213591977954</v>
      </c>
      <c r="Q29">
        <f t="shared" si="9"/>
        <v>21032.466536235257</v>
      </c>
      <c r="R29">
        <f t="shared" si="15"/>
        <v>7439.7869885258215</v>
      </c>
      <c r="S29">
        <f t="shared" si="16"/>
        <v>-3338.01079130196</v>
      </c>
      <c r="T29">
        <f t="shared" si="17"/>
        <v>0</v>
      </c>
      <c r="U29">
        <f t="shared" si="10"/>
        <v>1503599.773151476</v>
      </c>
    </row>
    <row r="30" spans="1:21" ht="12.75">
      <c r="A30">
        <f t="shared" si="11"/>
        <v>75</v>
      </c>
      <c r="B30" s="1">
        <f t="shared" si="0"/>
        <v>0.48702849793001274</v>
      </c>
      <c r="C30" s="1">
        <f t="shared" si="3"/>
        <v>64.90209393918516</v>
      </c>
      <c r="D30">
        <f t="shared" si="1"/>
        <v>81.86132204291442</v>
      </c>
      <c r="E30">
        <f t="shared" si="4"/>
        <v>294.114991824195</v>
      </c>
      <c r="F30">
        <f t="shared" si="2"/>
        <v>42.38522020929773</v>
      </c>
      <c r="G30">
        <f t="shared" si="5"/>
        <v>-278.72143130066536</v>
      </c>
      <c r="I30">
        <f t="shared" si="12"/>
        <v>70.1669146327823</v>
      </c>
      <c r="J30" s="13">
        <f t="shared" si="13"/>
        <v>3.3716598959078024</v>
      </c>
      <c r="K30" s="13">
        <f t="shared" si="14"/>
        <v>0.46865163331888393</v>
      </c>
      <c r="M30" s="11">
        <v>16600</v>
      </c>
      <c r="N30" s="13">
        <f t="shared" si="6"/>
        <v>1337632.1560866062</v>
      </c>
      <c r="O30">
        <f t="shared" si="7"/>
        <v>1267775.282912271</v>
      </c>
      <c r="P30">
        <f t="shared" si="8"/>
        <v>69856.87317433511</v>
      </c>
      <c r="Q30">
        <f t="shared" si="9"/>
        <v>20454.161116281626</v>
      </c>
      <c r="R30">
        <f t="shared" si="15"/>
        <v>7633.063375457942</v>
      </c>
      <c r="S30">
        <f t="shared" si="16"/>
        <v>0</v>
      </c>
      <c r="T30">
        <f t="shared" si="17"/>
        <v>34315.32979117858</v>
      </c>
      <c r="U30">
        <f t="shared" si="10"/>
        <v>4879982729.69514</v>
      </c>
    </row>
    <row r="31" spans="1:21" ht="12.75">
      <c r="A31">
        <f t="shared" si="11"/>
        <v>80</v>
      </c>
      <c r="B31" s="1">
        <f t="shared" si="0"/>
        <v>0.5265720533704037</v>
      </c>
      <c r="C31" s="1">
        <f t="shared" si="3"/>
        <v>65.60603574866879</v>
      </c>
      <c r="D31">
        <f t="shared" si="1"/>
        <v>81.19761453899092</v>
      </c>
      <c r="E31">
        <f t="shared" si="4"/>
        <v>292.27622056076234</v>
      </c>
      <c r="F31">
        <f t="shared" si="2"/>
        <v>43.43146803405773</v>
      </c>
      <c r="G31">
        <f t="shared" si="5"/>
        <v>-274.10397162150184</v>
      </c>
      <c r="I31">
        <f t="shared" si="12"/>
        <v>75.86401303802046</v>
      </c>
      <c r="J31" s="13">
        <f t="shared" si="13"/>
        <v>3.4182590431428994</v>
      </c>
      <c r="K31" s="13">
        <f t="shared" si="14"/>
        <v>0.33552728118394615</v>
      </c>
      <c r="M31" s="11">
        <v>17200</v>
      </c>
      <c r="N31" s="13">
        <f t="shared" si="6"/>
        <v>1391504.018229265</v>
      </c>
      <c r="O31">
        <f t="shared" si="7"/>
        <v>1247422.1107766733</v>
      </c>
      <c r="P31">
        <f t="shared" si="8"/>
        <v>144081.9074525917</v>
      </c>
      <c r="Q31">
        <f t="shared" si="9"/>
        <v>19881.431525924472</v>
      </c>
      <c r="R31">
        <f t="shared" si="15"/>
        <v>8023.413587377083</v>
      </c>
      <c r="S31">
        <f t="shared" si="16"/>
        <v>0</v>
      </c>
      <c r="T31">
        <f t="shared" si="17"/>
        <v>106969.3903134634</v>
      </c>
      <c r="U31">
        <f t="shared" si="10"/>
        <v>20759596055.177197</v>
      </c>
    </row>
    <row r="32" spans="1:21" ht="12.75">
      <c r="A32">
        <f t="shared" si="11"/>
        <v>85</v>
      </c>
      <c r="B32" s="1">
        <f t="shared" si="0"/>
        <v>0.5664235756228247</v>
      </c>
      <c r="C32" s="1">
        <f t="shared" si="3"/>
        <v>65.91431131857574</v>
      </c>
      <c r="D32">
        <f t="shared" si="1"/>
        <v>80.42625464465503</v>
      </c>
      <c r="E32">
        <f t="shared" si="4"/>
        <v>290.1287623430136</v>
      </c>
      <c r="F32">
        <f t="shared" si="2"/>
        <v>44.485864079269746</v>
      </c>
      <c r="G32">
        <f t="shared" si="5"/>
        <v>-269.38700777237796</v>
      </c>
      <c r="I32">
        <f t="shared" si="12"/>
        <v>81.6054806764786</v>
      </c>
      <c r="J32" s="13">
        <f t="shared" si="13"/>
        <v>3.444880583074888</v>
      </c>
      <c r="K32" s="13">
        <f t="shared" si="14"/>
        <v>0.1916827548205097</v>
      </c>
      <c r="M32" s="11">
        <v>17900</v>
      </c>
      <c r="N32" s="13">
        <f t="shared" si="6"/>
        <v>1444182.5609899946</v>
      </c>
      <c r="O32">
        <f t="shared" si="7"/>
        <v>1217575.303164001</v>
      </c>
      <c r="P32">
        <f t="shared" si="8"/>
        <v>226607.25782599347</v>
      </c>
      <c r="Q32">
        <f t="shared" si="9"/>
        <v>19316.881103750333</v>
      </c>
      <c r="R32">
        <f t="shared" si="15"/>
        <v>8396.89642124504</v>
      </c>
      <c r="S32">
        <f t="shared" si="16"/>
        <v>0</v>
      </c>
      <c r="T32">
        <f t="shared" si="17"/>
        <v>185344.58263929258</v>
      </c>
      <c r="U32">
        <f t="shared" si="10"/>
        <v>51350849299.416275</v>
      </c>
    </row>
    <row r="33" spans="1:21" ht="12.75">
      <c r="A33">
        <f t="shared" si="11"/>
        <v>90</v>
      </c>
      <c r="B33" s="1">
        <f t="shared" si="0"/>
        <v>0.606334958529778</v>
      </c>
      <c r="C33" s="1">
        <f t="shared" si="3"/>
        <v>65.79910733122175</v>
      </c>
      <c r="D33">
        <f t="shared" si="1"/>
        <v>79.55228490440844</v>
      </c>
      <c r="E33">
        <f t="shared" si="4"/>
        <v>287.6822480182606</v>
      </c>
      <c r="F33">
        <f t="shared" si="2"/>
        <v>45.541843924392914</v>
      </c>
      <c r="G33">
        <f t="shared" si="5"/>
        <v>-264.5690178772545</v>
      </c>
      <c r="I33">
        <f t="shared" si="12"/>
        <v>87.35557252779962</v>
      </c>
      <c r="J33" s="13">
        <f t="shared" si="13"/>
        <v>3.4500551107926096</v>
      </c>
      <c r="K33" s="13">
        <f t="shared" si="14"/>
        <v>0.03725808989119228</v>
      </c>
      <c r="M33" s="11">
        <v>17950</v>
      </c>
      <c r="N33" s="13">
        <f t="shared" si="6"/>
        <v>1444948.3969936296</v>
      </c>
      <c r="O33">
        <f t="shared" si="7"/>
        <v>1178462.0123021815</v>
      </c>
      <c r="P33">
        <f t="shared" si="8"/>
        <v>266486.3846914482</v>
      </c>
      <c r="Q33">
        <f t="shared" si="9"/>
        <v>18763.287861781668</v>
      </c>
      <c r="R33">
        <f t="shared" si="15"/>
        <v>8589.199702910768</v>
      </c>
      <c r="S33">
        <f t="shared" si="16"/>
        <v>0</v>
      </c>
      <c r="T33">
        <f t="shared" si="17"/>
        <v>246546.82125872083</v>
      </c>
      <c r="U33">
        <f t="shared" si="10"/>
        <v>71014993225.9185</v>
      </c>
    </row>
    <row r="34" spans="1:21" ht="12.75">
      <c r="A34">
        <f t="shared" si="11"/>
        <v>95</v>
      </c>
      <c r="B34" s="1">
        <f t="shared" si="0"/>
        <v>0.6460414375093019</v>
      </c>
      <c r="C34" s="1">
        <f t="shared" si="3"/>
        <v>65.23326001499517</v>
      </c>
      <c r="D34">
        <f t="shared" si="1"/>
        <v>78.5813465876157</v>
      </c>
      <c r="E34">
        <f t="shared" si="4"/>
        <v>284.9478529269523</v>
      </c>
      <c r="F34">
        <f t="shared" si="2"/>
        <v>46.592402398423616</v>
      </c>
      <c r="G34">
        <f t="shared" si="5"/>
        <v>-259.6486380344925</v>
      </c>
      <c r="I34">
        <f t="shared" si="12"/>
        <v>93.07614356782318</v>
      </c>
      <c r="J34" s="13">
        <f t="shared" si="13"/>
        <v>3.432342624014135</v>
      </c>
      <c r="K34" s="13">
        <f t="shared" si="14"/>
        <v>-0.12753500620526687</v>
      </c>
      <c r="M34" s="11">
        <v>18000</v>
      </c>
      <c r="N34" s="13">
        <f t="shared" si="6"/>
        <v>1435784.0529300435</v>
      </c>
      <c r="O34">
        <f t="shared" si="7"/>
        <v>1130379.9139519245</v>
      </c>
      <c r="P34">
        <f t="shared" si="8"/>
        <v>305404.138978119</v>
      </c>
      <c r="Q34">
        <f t="shared" si="9"/>
        <v>18223.74875973584</v>
      </c>
      <c r="R34">
        <f t="shared" si="15"/>
        <v>8568.938703701953</v>
      </c>
      <c r="S34">
        <f t="shared" si="16"/>
        <v>0</v>
      </c>
      <c r="T34">
        <f t="shared" si="17"/>
        <v>285945.2618347836</v>
      </c>
      <c r="U34">
        <f t="shared" si="10"/>
        <v>93271688104.96623</v>
      </c>
    </row>
    <row r="35" spans="1:21" ht="12.75">
      <c r="A35">
        <f t="shared" si="11"/>
        <v>100</v>
      </c>
      <c r="B35" s="1">
        <f t="shared" si="0"/>
        <v>0.685262034813194</v>
      </c>
      <c r="C35" s="1">
        <f t="shared" si="3"/>
        <v>64.19042697001643</v>
      </c>
      <c r="D35">
        <f t="shared" si="1"/>
        <v>77.51962848561062</v>
      </c>
      <c r="E35">
        <f t="shared" si="4"/>
        <v>281.93833472473165</v>
      </c>
      <c r="F35">
        <f t="shared" si="2"/>
        <v>47.63010536058749</v>
      </c>
      <c r="G35">
        <f t="shared" si="5"/>
        <v>-254.62462289465128</v>
      </c>
      <c r="I35">
        <f t="shared" si="12"/>
        <v>98.7267129175954</v>
      </c>
      <c r="J35" s="13">
        <f t="shared" si="13"/>
        <v>3.390341609863336</v>
      </c>
      <c r="K35" s="13">
        <f t="shared" si="14"/>
        <v>-0.30241939866169715</v>
      </c>
      <c r="M35" s="11">
        <v>18000</v>
      </c>
      <c r="N35" s="13">
        <f t="shared" si="6"/>
        <v>1412831.2976100617</v>
      </c>
      <c r="O35">
        <f t="shared" si="7"/>
        <v>1073694.9419144397</v>
      </c>
      <c r="P35">
        <f t="shared" si="8"/>
        <v>339136.35569562204</v>
      </c>
      <c r="Q35">
        <f t="shared" si="9"/>
        <v>17701.881470510227</v>
      </c>
      <c r="R35">
        <f t="shared" si="15"/>
        <v>8475.85402465834</v>
      </c>
      <c r="S35">
        <f t="shared" si="16"/>
        <v>0</v>
      </c>
      <c r="T35">
        <f t="shared" si="17"/>
        <v>322270.2473368705</v>
      </c>
      <c r="U35">
        <f t="shared" si="10"/>
        <v>115013467754.50748</v>
      </c>
    </row>
    <row r="36" spans="1:21" ht="12.75">
      <c r="A36">
        <f t="shared" si="11"/>
        <v>105</v>
      </c>
      <c r="B36" s="1">
        <f t="shared" si="0"/>
        <v>0.7237001127975516</v>
      </c>
      <c r="C36" s="1">
        <f t="shared" si="3"/>
        <v>62.64527664538689</v>
      </c>
      <c r="D36">
        <f t="shared" si="1"/>
        <v>76.37381871958848</v>
      </c>
      <c r="E36">
        <f t="shared" si="4"/>
        <v>278.6680767996822</v>
      </c>
      <c r="F36">
        <f t="shared" si="2"/>
        <v>48.64710433883344</v>
      </c>
      <c r="G36">
        <f t="shared" si="5"/>
        <v>-249.4958121068751</v>
      </c>
      <c r="I36">
        <f t="shared" si="12"/>
        <v>104.26454355387212</v>
      </c>
      <c r="J36" s="13">
        <f t="shared" si="13"/>
        <v>3.322698381766026</v>
      </c>
      <c r="K36" s="13">
        <f t="shared" si="14"/>
        <v>-0.4870507243296071</v>
      </c>
      <c r="M36" s="11">
        <v>18000</v>
      </c>
      <c r="N36" s="13">
        <f t="shared" si="6"/>
        <v>1378822.5389649656</v>
      </c>
      <c r="O36">
        <f t="shared" si="7"/>
        <v>1008838.5030542549</v>
      </c>
      <c r="P36">
        <f t="shared" si="8"/>
        <v>369984.0359107107</v>
      </c>
      <c r="Q36">
        <f t="shared" si="9"/>
        <v>17202.11006180637</v>
      </c>
      <c r="R36">
        <f t="shared" si="15"/>
        <v>8306.745954415064</v>
      </c>
      <c r="S36">
        <f t="shared" si="16"/>
        <v>0</v>
      </c>
      <c r="T36">
        <f t="shared" si="17"/>
        <v>354560.19580316637</v>
      </c>
      <c r="U36">
        <f t="shared" si="10"/>
        <v>136888186828.77806</v>
      </c>
    </row>
    <row r="37" spans="1:21" ht="12.75">
      <c r="A37">
        <f t="shared" si="11"/>
        <v>110</v>
      </c>
      <c r="B37" s="1">
        <f t="shared" si="0"/>
        <v>0.7610440549681385</v>
      </c>
      <c r="C37" s="1">
        <f t="shared" si="3"/>
        <v>60.573726432432856</v>
      </c>
      <c r="D37">
        <f t="shared" si="1"/>
        <v>75.15106155451078</v>
      </c>
      <c r="E37">
        <f t="shared" si="4"/>
        <v>275.1531372473195</v>
      </c>
      <c r="F37">
        <f t="shared" si="2"/>
        <v>49.635154549008305</v>
      </c>
      <c r="G37">
        <f t="shared" si="5"/>
        <v>-244.26110515197226</v>
      </c>
      <c r="I37">
        <f t="shared" si="12"/>
        <v>109.64474042833032</v>
      </c>
      <c r="J37" s="13">
        <f t="shared" si="13"/>
        <v>3.2281181246749244</v>
      </c>
      <c r="K37" s="13">
        <f t="shared" si="14"/>
        <v>-0.6810050912595804</v>
      </c>
      <c r="M37" s="11">
        <v>17333</v>
      </c>
      <c r="N37" s="13">
        <f t="shared" si="6"/>
        <v>1292825.0432474145</v>
      </c>
      <c r="O37">
        <f t="shared" si="7"/>
        <v>936304.1940324841</v>
      </c>
      <c r="P37">
        <f t="shared" si="8"/>
        <v>356520.84921493044</v>
      </c>
      <c r="Q37">
        <f t="shared" si="9"/>
        <v>16730.084324081206</v>
      </c>
      <c r="R37">
        <f t="shared" si="15"/>
        <v>7920.770673551327</v>
      </c>
      <c r="S37">
        <f t="shared" si="16"/>
        <v>0</v>
      </c>
      <c r="T37">
        <f t="shared" si="17"/>
        <v>363252.44256282056</v>
      </c>
      <c r="U37">
        <f t="shared" si="10"/>
        <v>127107115924.93517</v>
      </c>
    </row>
    <row r="38" spans="1:21" ht="12.75">
      <c r="A38">
        <f t="shared" si="11"/>
        <v>115</v>
      </c>
      <c r="B38" s="1">
        <f t="shared" si="0"/>
        <v>0.7969681151069582</v>
      </c>
      <c r="C38" s="1">
        <f t="shared" si="3"/>
        <v>57.95326615840723</v>
      </c>
      <c r="D38">
        <f t="shared" si="1"/>
        <v>73.85892082497742</v>
      </c>
      <c r="E38">
        <f t="shared" si="4"/>
        <v>271.4113031621296</v>
      </c>
      <c r="F38">
        <f t="shared" si="2"/>
        <v>50.585637361143014</v>
      </c>
      <c r="G38">
        <f t="shared" si="5"/>
        <v>-238.91944723457362</v>
      </c>
      <c r="I38">
        <f t="shared" si="12"/>
        <v>114.82037280248704</v>
      </c>
      <c r="J38" s="13">
        <f t="shared" si="13"/>
        <v>3.105379424494032</v>
      </c>
      <c r="K38" s="13">
        <f t="shared" si="14"/>
        <v>-0.8837539914620836</v>
      </c>
      <c r="M38" s="11">
        <v>16667</v>
      </c>
      <c r="N38" s="13">
        <f t="shared" si="6"/>
        <v>1198299.6843573863</v>
      </c>
      <c r="O38">
        <f t="shared" si="7"/>
        <v>856644.0447381963</v>
      </c>
      <c r="P38">
        <f t="shared" si="8"/>
        <v>341655.63961919</v>
      </c>
      <c r="Q38">
        <f t="shared" si="9"/>
        <v>16293.325812940424</v>
      </c>
      <c r="R38">
        <f t="shared" si="15"/>
        <v>7332.145863388687</v>
      </c>
      <c r="S38">
        <f t="shared" si="16"/>
        <v>0</v>
      </c>
      <c r="T38">
        <f t="shared" si="17"/>
        <v>349088.2444170602</v>
      </c>
      <c r="U38">
        <f t="shared" si="10"/>
        <v>116728576083.59784</v>
      </c>
    </row>
    <row r="39" spans="1:21" ht="12.75">
      <c r="A39">
        <f t="shared" si="11"/>
        <v>120</v>
      </c>
      <c r="B39" s="1">
        <f t="shared" si="0"/>
        <v>0.8311334986872583</v>
      </c>
      <c r="C39" s="1">
        <f t="shared" si="3"/>
        <v>54.76340900694142</v>
      </c>
      <c r="D39">
        <f t="shared" si="1"/>
        <v>72.50535114063173</v>
      </c>
      <c r="E39">
        <f t="shared" si="4"/>
        <v>267.4621496983769</v>
      </c>
      <c r="F39">
        <f t="shared" si="2"/>
        <v>51.489588911652014</v>
      </c>
      <c r="G39">
        <f t="shared" si="5"/>
        <v>-233.46982910073692</v>
      </c>
      <c r="I39">
        <f t="shared" si="12"/>
        <v>119.74263004875534</v>
      </c>
      <c r="J39" s="13">
        <f t="shared" si="13"/>
        <v>2.953354347760981</v>
      </c>
      <c r="K39" s="13">
        <f t="shared" si="14"/>
        <v>-1.094624337451466</v>
      </c>
      <c r="M39" s="11">
        <v>16000</v>
      </c>
      <c r="N39" s="13">
        <f t="shared" si="6"/>
        <v>1095815.814228898</v>
      </c>
      <c r="O39">
        <f t="shared" si="7"/>
        <v>770464.317007634</v>
      </c>
      <c r="P39">
        <f t="shared" si="8"/>
        <v>325351.49722126394</v>
      </c>
      <c r="Q39">
        <f t="shared" si="9"/>
        <v>15902.279691525673</v>
      </c>
      <c r="R39">
        <f t="shared" si="15"/>
        <v>6699.807394326942</v>
      </c>
      <c r="S39">
        <f t="shared" si="16"/>
        <v>0</v>
      </c>
      <c r="T39">
        <f t="shared" si="17"/>
        <v>333503.568420227</v>
      </c>
      <c r="U39">
        <f t="shared" si="10"/>
        <v>105853596744.11812</v>
      </c>
    </row>
    <row r="40" spans="1:21" ht="12.75">
      <c r="A40">
        <f t="shared" si="11"/>
        <v>125</v>
      </c>
      <c r="B40" s="1">
        <f t="shared" si="0"/>
        <v>0.8631897676333801</v>
      </c>
      <c r="C40" s="1">
        <f t="shared" si="3"/>
        <v>50.98631632936105</v>
      </c>
      <c r="D40">
        <f t="shared" si="1"/>
        <v>71.09867757259822</v>
      </c>
      <c r="E40">
        <f t="shared" si="4"/>
        <v>263.3271029127323</v>
      </c>
      <c r="F40">
        <f t="shared" si="2"/>
        <v>52.33773727062694</v>
      </c>
      <c r="G40">
        <f t="shared" si="5"/>
        <v>-227.91130389167833</v>
      </c>
      <c r="I40">
        <f t="shared" si="12"/>
        <v>124.36102403626954</v>
      </c>
      <c r="J40" s="13">
        <f t="shared" si="13"/>
        <v>2.7710363925085177</v>
      </c>
      <c r="K40" s="13">
        <f t="shared" si="14"/>
        <v>-1.3127417874892346</v>
      </c>
      <c r="M40" s="11">
        <v>16000</v>
      </c>
      <c r="N40" s="13">
        <f t="shared" si="6"/>
        <v>1020236.1897505147</v>
      </c>
      <c r="O40">
        <f t="shared" si="7"/>
        <v>678420.8906055698</v>
      </c>
      <c r="P40">
        <f t="shared" si="8"/>
        <v>341815.2991449449</v>
      </c>
      <c r="Q40">
        <f t="shared" si="9"/>
        <v>15572.134236879901</v>
      </c>
      <c r="R40">
        <f t="shared" si="15"/>
        <v>6157.858650018928</v>
      </c>
      <c r="S40">
        <f t="shared" si="16"/>
        <v>0</v>
      </c>
      <c r="T40">
        <f t="shared" si="17"/>
        <v>333583.3981831044</v>
      </c>
      <c r="U40">
        <f t="shared" si="10"/>
        <v>116837698729.54816</v>
      </c>
    </row>
    <row r="41" spans="1:21" ht="12.75">
      <c r="A41">
        <f t="shared" si="11"/>
        <v>130</v>
      </c>
      <c r="B41" s="1">
        <f t="shared" si="0"/>
        <v>0.8927766886582194</v>
      </c>
      <c r="C41" s="1">
        <f t="shared" si="3"/>
        <v>46.607645941273034</v>
      </c>
      <c r="D41">
        <f t="shared" si="1"/>
        <v>69.6475840396144</v>
      </c>
      <c r="E41">
        <f t="shared" si="4"/>
        <v>259.02950478858975</v>
      </c>
      <c r="F41">
        <f t="shared" si="2"/>
        <v>53.12055134535643</v>
      </c>
      <c r="G41">
        <f t="shared" si="5"/>
        <v>-222.243024433424</v>
      </c>
      <c r="I41">
        <f t="shared" si="12"/>
        <v>128.62365542359157</v>
      </c>
      <c r="J41" s="13">
        <f t="shared" si="13"/>
        <v>2.5575788323932187</v>
      </c>
      <c r="K41" s="13">
        <f t="shared" si="14"/>
        <v>-1.5369559110665958</v>
      </c>
      <c r="M41" s="11">
        <v>16000</v>
      </c>
      <c r="N41" s="13">
        <f t="shared" si="6"/>
        <v>932618.9952848734</v>
      </c>
      <c r="O41">
        <f t="shared" si="7"/>
        <v>581214.2715842637</v>
      </c>
      <c r="P41">
        <f t="shared" si="8"/>
        <v>351404.72370060976</v>
      </c>
      <c r="Q41">
        <f t="shared" si="9"/>
        <v>15326.189446680473</v>
      </c>
      <c r="R41">
        <f t="shared" si="15"/>
        <v>5683.508516429375</v>
      </c>
      <c r="S41">
        <f t="shared" si="16"/>
        <v>0</v>
      </c>
      <c r="T41">
        <f t="shared" si="17"/>
        <v>346610.0114227773</v>
      </c>
      <c r="U41">
        <f t="shared" si="10"/>
        <v>123485279839.10188</v>
      </c>
    </row>
    <row r="42" spans="1:21" ht="12.75">
      <c r="A42">
        <f t="shared" si="11"/>
        <v>135</v>
      </c>
      <c r="B42" s="1">
        <f t="shared" si="0"/>
        <v>0.9195266758607828</v>
      </c>
      <c r="C42" s="1">
        <f t="shared" si="3"/>
        <v>41.61767436676905</v>
      </c>
      <c r="D42">
        <f t="shared" si="1"/>
        <v>68.16111011218877</v>
      </c>
      <c r="E42">
        <f t="shared" si="4"/>
        <v>254.59467801212122</v>
      </c>
      <c r="F42">
        <f t="shared" si="2"/>
        <v>53.82830550684625</v>
      </c>
      <c r="G42">
        <f t="shared" si="5"/>
        <v>-216.4643046674882</v>
      </c>
      <c r="I42">
        <f t="shared" si="12"/>
        <v>132.47756556734666</v>
      </c>
      <c r="J42" s="13">
        <f t="shared" si="13"/>
        <v>2.3123460862530525</v>
      </c>
      <c r="K42" s="13">
        <f t="shared" si="14"/>
        <v>-1.7657464020652793</v>
      </c>
      <c r="M42" s="11">
        <v>16000</v>
      </c>
      <c r="N42" s="13">
        <f t="shared" si="6"/>
        <v>832769.6640790487</v>
      </c>
      <c r="O42">
        <f t="shared" si="7"/>
        <v>479584.26100942877</v>
      </c>
      <c r="P42">
        <f t="shared" si="8"/>
        <v>353185.4030696199</v>
      </c>
      <c r="Q42">
        <f t="shared" si="9"/>
        <v>15202.612746277868</v>
      </c>
      <c r="R42">
        <f t="shared" si="15"/>
        <v>5138.546858340116</v>
      </c>
      <c r="S42">
        <f t="shared" si="16"/>
        <v>0</v>
      </c>
      <c r="T42">
        <f t="shared" si="17"/>
        <v>352295.06338511483</v>
      </c>
      <c r="U42">
        <f t="shared" si="10"/>
        <v>124739928941.44987</v>
      </c>
    </row>
    <row r="43" spans="1:21" ht="12.75">
      <c r="A43">
        <f t="shared" si="11"/>
        <v>140</v>
      </c>
      <c r="B43" s="1">
        <f t="shared" si="0"/>
        <v>0.9430680081733663</v>
      </c>
      <c r="C43" s="1">
        <f t="shared" si="3"/>
        <v>36.01274050363825</v>
      </c>
      <c r="D43">
        <f t="shared" si="1"/>
        <v>66.64865542328566</v>
      </c>
      <c r="E43">
        <f t="shared" si="4"/>
        <v>250.04998697438532</v>
      </c>
      <c r="F43">
        <f t="shared" si="2"/>
        <v>54.45116471739753</v>
      </c>
      <c r="G43">
        <f t="shared" si="5"/>
        <v>-210.57470918913637</v>
      </c>
      <c r="I43">
        <f t="shared" si="12"/>
        <v>135.8692000645879</v>
      </c>
      <c r="J43" s="13">
        <f t="shared" si="13"/>
        <v>2.0349806983447367</v>
      </c>
      <c r="K43" s="13">
        <f t="shared" si="14"/>
        <v>-1.997110677366968</v>
      </c>
      <c r="M43" s="11">
        <v>16000</v>
      </c>
      <c r="N43" s="13">
        <f t="shared" si="6"/>
        <v>720614.9374778013</v>
      </c>
      <c r="O43">
        <f t="shared" si="7"/>
        <v>374304.3246274173</v>
      </c>
      <c r="P43">
        <f t="shared" si="8"/>
        <v>346310.61285038403</v>
      </c>
      <c r="Q43">
        <f t="shared" si="9"/>
        <v>15269.408201585604</v>
      </c>
      <c r="R43">
        <f t="shared" si="15"/>
        <v>4522.17932965497</v>
      </c>
      <c r="S43">
        <f t="shared" si="16"/>
        <v>0</v>
      </c>
      <c r="T43">
        <f t="shared" si="17"/>
        <v>349748.00796000194</v>
      </c>
      <c r="U43">
        <f t="shared" si="10"/>
        <v>119931040572.80858</v>
      </c>
    </row>
    <row r="44" spans="1:21" ht="12.75">
      <c r="A44">
        <f t="shared" si="11"/>
        <v>145</v>
      </c>
      <c r="B44" s="1">
        <f t="shared" si="0"/>
        <v>0.9630290285906212</v>
      </c>
      <c r="C44" s="1">
        <f t="shared" si="3"/>
        <v>29.797048924644116</v>
      </c>
      <c r="D44">
        <f t="shared" si="1"/>
        <v>65.11999029309801</v>
      </c>
      <c r="E44">
        <f t="shared" si="4"/>
        <v>245.42489006379782</v>
      </c>
      <c r="F44">
        <f t="shared" si="2"/>
        <v>54.97929563428042</v>
      </c>
      <c r="G44">
        <f t="shared" si="5"/>
        <v>-204.57417497583162</v>
      </c>
      <c r="I44">
        <f t="shared" si="12"/>
        <v>138.74501374192639</v>
      </c>
      <c r="J44" s="13">
        <f t="shared" si="13"/>
        <v>1.7254882064030994</v>
      </c>
      <c r="K44" s="13">
        <f t="shared" si="14"/>
        <v>-2.228435079382964</v>
      </c>
      <c r="M44" s="11">
        <v>16000</v>
      </c>
      <c r="N44" s="13">
        <f t="shared" si="6"/>
        <v>596238.9489821288</v>
      </c>
      <c r="O44">
        <f t="shared" si="7"/>
        <v>266175.7063238612</v>
      </c>
      <c r="P44">
        <f t="shared" si="8"/>
        <v>330063.24265826755</v>
      </c>
      <c r="Q44">
        <f t="shared" si="9"/>
        <v>15662.27384853724</v>
      </c>
      <c r="R44">
        <f t="shared" si="15"/>
        <v>3834.418236451332</v>
      </c>
      <c r="S44">
        <f t="shared" si="16"/>
        <v>0</v>
      </c>
      <c r="T44">
        <f t="shared" si="17"/>
        <v>338186.9277543258</v>
      </c>
      <c r="U44">
        <f t="shared" si="10"/>
        <v>108941744154.09041</v>
      </c>
    </row>
    <row r="45" spans="1:21" ht="12.75">
      <c r="A45">
        <f t="shared" si="11"/>
        <v>150</v>
      </c>
      <c r="B45" s="1">
        <f t="shared" si="0"/>
        <v>0.9790435501287653</v>
      </c>
      <c r="C45" s="1">
        <f t="shared" si="3"/>
        <v>22.984852157715046</v>
      </c>
      <c r="D45">
        <f t="shared" si="1"/>
        <v>63.58527051537697</v>
      </c>
      <c r="E45">
        <f t="shared" si="4"/>
        <v>240.75097654977998</v>
      </c>
      <c r="F45">
        <f t="shared" si="2"/>
        <v>55.403009641209124</v>
      </c>
      <c r="G45">
        <f t="shared" si="5"/>
        <v>-198.46316920503926</v>
      </c>
      <c r="I45">
        <f t="shared" si="12"/>
        <v>141.05224950005504</v>
      </c>
      <c r="J45" s="13">
        <f t="shared" si="13"/>
        <v>1.3843414548771933</v>
      </c>
      <c r="K45" s="13">
        <f t="shared" si="14"/>
        <v>-2.4563548651811313</v>
      </c>
      <c r="M45" s="11">
        <v>17000</v>
      </c>
      <c r="N45" s="13">
        <f t="shared" si="6"/>
        <v>482911.74383359315</v>
      </c>
      <c r="O45">
        <f t="shared" si="7"/>
        <v>156021.33017389473</v>
      </c>
      <c r="P45">
        <f t="shared" si="8"/>
        <v>326890.41365969845</v>
      </c>
      <c r="Q45">
        <f t="shared" si="9"/>
        <v>16700.21936132465</v>
      </c>
      <c r="R45">
        <f t="shared" si="15"/>
        <v>3172.449167426901</v>
      </c>
      <c r="S45">
        <f t="shared" si="16"/>
        <v>0</v>
      </c>
      <c r="T45">
        <f t="shared" si="17"/>
        <v>328476.82815898303</v>
      </c>
      <c r="U45">
        <f t="shared" si="10"/>
        <v>106857342542.60876</v>
      </c>
    </row>
    <row r="46" spans="1:21" ht="12.75">
      <c r="A46">
        <f t="shared" si="11"/>
        <v>155</v>
      </c>
      <c r="B46" s="1">
        <f t="shared" si="0"/>
        <v>0.9907576960890142</v>
      </c>
      <c r="C46" s="1">
        <f t="shared" si="3"/>
        <v>15.602998578027586</v>
      </c>
      <c r="D46">
        <f t="shared" si="1"/>
        <v>62.05505348416715</v>
      </c>
      <c r="E46">
        <f t="shared" si="4"/>
        <v>236.06197922577232</v>
      </c>
      <c r="F46">
        <f t="shared" si="2"/>
        <v>55.71294382879897</v>
      </c>
      <c r="G46">
        <f t="shared" si="5"/>
        <v>-192.2428863614193</v>
      </c>
      <c r="I46">
        <f t="shared" si="12"/>
        <v>142.73992380059843</v>
      </c>
      <c r="J46" s="13">
        <f t="shared" si="13"/>
        <v>1.0126045803260353</v>
      </c>
      <c r="K46" s="13">
        <f t="shared" si="14"/>
        <v>-2.676612561270788</v>
      </c>
      <c r="M46" s="11">
        <v>16000</v>
      </c>
      <c r="N46" s="13">
        <f t="shared" si="6"/>
        <v>312216.001546332</v>
      </c>
      <c r="O46">
        <f t="shared" si="7"/>
        <v>44679.53749305005</v>
      </c>
      <c r="P46">
        <f t="shared" si="8"/>
        <v>267536.46405328193</v>
      </c>
      <c r="Q46">
        <f t="shared" si="9"/>
        <v>19362.400867010147</v>
      </c>
      <c r="R46">
        <f t="shared" si="15"/>
        <v>2320.552163247164</v>
      </c>
      <c r="S46">
        <f t="shared" si="16"/>
        <v>0</v>
      </c>
      <c r="T46">
        <f t="shared" si="17"/>
        <v>297213.4388564902</v>
      </c>
      <c r="U46">
        <f t="shared" si="10"/>
        <v>71575759598.13301</v>
      </c>
    </row>
    <row r="47" spans="1:21" ht="12.75">
      <c r="A47">
        <f t="shared" si="11"/>
        <v>160</v>
      </c>
      <c r="B47" s="1">
        <f aca="true" t="shared" si="18" ref="B47:B78">($B$11-F47)/($B$11-$B$12)</f>
        <v>0.9978383796326779</v>
      </c>
      <c r="C47" s="1">
        <f t="shared" si="3"/>
        <v>7.6937812836749355</v>
      </c>
      <c r="D47">
        <f aca="true" t="shared" si="19" ref="D47:D78">DEGREES(ACOS(($B$5^2+$B$4^2-$B$7^2-$B$8^2+2*$B$7*$B$8*COS(RADIANS(A47-$B$10)))/(2*$B$5*$B$4)))</f>
        <v>60.54031193983521</v>
      </c>
      <c r="E47">
        <f t="shared" si="4"/>
        <v>231.39375150820382</v>
      </c>
      <c r="F47">
        <f aca="true" t="shared" si="20" ref="F47:F78">DEGREES(ASIN($B$4*SIN(RADIANS(D47))/E47))-DEGREES(ASIN($B$8*SIN(RADIANS(A47-$B$10))/E47))</f>
        <v>55.90028534811529</v>
      </c>
      <c r="G47">
        <f t="shared" si="5"/>
        <v>-185.9154863364037</v>
      </c>
      <c r="I47">
        <f t="shared" si="12"/>
        <v>143.7600483310143</v>
      </c>
      <c r="J47" s="13">
        <f t="shared" si="13"/>
        <v>0.6120747182495223</v>
      </c>
      <c r="K47" s="13">
        <f t="shared" si="14"/>
        <v>-2.88393036416546</v>
      </c>
      <c r="M47" s="11">
        <v>16000</v>
      </c>
      <c r="N47" s="13">
        <f t="shared" si="6"/>
        <v>153952.56348633545</v>
      </c>
      <c r="O47">
        <f t="shared" si="7"/>
        <v>-67002.29344635911</v>
      </c>
      <c r="P47">
        <f t="shared" si="8"/>
        <v>220954.85693269456</v>
      </c>
      <c r="Q47">
        <f t="shared" si="9"/>
        <v>25600</v>
      </c>
      <c r="R47">
        <f t="shared" si="15"/>
        <v>1360.1660405544937</v>
      </c>
      <c r="S47">
        <f t="shared" si="16"/>
        <v>0</v>
      </c>
      <c r="T47">
        <f t="shared" si="17"/>
        <v>244245.66049298825</v>
      </c>
      <c r="U47">
        <f t="shared" si="10"/>
        <v>48821048802.14752</v>
      </c>
    </row>
    <row r="48" spans="1:21" ht="12.75">
      <c r="A48">
        <f t="shared" si="11"/>
        <v>165</v>
      </c>
      <c r="B48" s="1">
        <f t="shared" si="18"/>
        <v>0.999983567336438</v>
      </c>
      <c r="C48" s="1">
        <f t="shared" si="3"/>
        <v>-0.6820507198198188</v>
      </c>
      <c r="D48">
        <f t="shared" si="19"/>
        <v>59.052440577508776</v>
      </c>
      <c r="E48">
        <f t="shared" si="4"/>
        <v>226.7841949846576</v>
      </c>
      <c r="F48">
        <f t="shared" si="20"/>
        <v>55.95704296497006</v>
      </c>
      <c r="G48">
        <f t="shared" si="5"/>
        <v>-179.48437259093203</v>
      </c>
      <c r="I48">
        <f t="shared" si="12"/>
        <v>144.06910869015297</v>
      </c>
      <c r="J48" s="13">
        <f t="shared" si="13"/>
        <v>0.18543621548320177</v>
      </c>
      <c r="K48" s="13">
        <f t="shared" si="14"/>
        <v>-3.0719200967213762</v>
      </c>
      <c r="M48" s="11">
        <v>16000</v>
      </c>
      <c r="N48" s="13">
        <f t="shared" si="6"/>
        <v>-13647.834903594574</v>
      </c>
      <c r="O48">
        <f t="shared" si="7"/>
        <v>-178174.1964755511</v>
      </c>
      <c r="P48">
        <f t="shared" si="8"/>
        <v>164526.36157195654</v>
      </c>
      <c r="Q48">
        <f t="shared" si="9"/>
        <v>-211950.25928440603</v>
      </c>
      <c r="R48">
        <f t="shared" si="15"/>
        <v>412.08047885155946</v>
      </c>
      <c r="S48">
        <f t="shared" si="16"/>
        <v>0</v>
      </c>
      <c r="T48">
        <f t="shared" si="17"/>
        <v>192740.60925232555</v>
      </c>
      <c r="U48">
        <f t="shared" si="10"/>
        <v>27068923652.10618</v>
      </c>
    </row>
    <row r="49" spans="1:21" ht="12.75">
      <c r="A49">
        <f t="shared" si="11"/>
        <v>170</v>
      </c>
      <c r="B49" s="1">
        <f t="shared" si="18"/>
        <v>0.9969343587232803</v>
      </c>
      <c r="C49" s="1">
        <f t="shared" si="3"/>
        <v>-9.44235644994479</v>
      </c>
      <c r="D49">
        <f t="shared" si="19"/>
        <v>57.603249620138385</v>
      </c>
      <c r="E49">
        <f t="shared" si="4"/>
        <v>222.27312069365541</v>
      </c>
      <c r="F49">
        <f t="shared" si="20"/>
        <v>55.876366661506026</v>
      </c>
      <c r="G49">
        <f t="shared" si="5"/>
        <v>-172.9545053300976</v>
      </c>
      <c r="I49">
        <f t="shared" si="12"/>
        <v>143.62980470411043</v>
      </c>
      <c r="J49" s="13">
        <f t="shared" si="13"/>
        <v>-0.26358239162552766</v>
      </c>
      <c r="K49" s="13">
        <f t="shared" si="14"/>
        <v>-3.2330632937146007</v>
      </c>
      <c r="M49" s="11">
        <v>16000</v>
      </c>
      <c r="N49" s="13">
        <f t="shared" si="6"/>
        <v>-188941.55256339523</v>
      </c>
      <c r="O49">
        <f t="shared" si="7"/>
        <v>-287990.08628504234</v>
      </c>
      <c r="P49">
        <f t="shared" si="8"/>
        <v>99048.53372164711</v>
      </c>
      <c r="Q49">
        <f t="shared" si="9"/>
        <v>-7400.034456403605</v>
      </c>
      <c r="R49">
        <f t="shared" si="15"/>
        <v>-585.738648056728</v>
      </c>
      <c r="S49">
        <f t="shared" si="16"/>
        <v>0</v>
      </c>
      <c r="T49">
        <f t="shared" si="17"/>
        <v>131787.44764680183</v>
      </c>
      <c r="U49">
        <f t="shared" si="10"/>
        <v>9810612032.408264</v>
      </c>
    </row>
    <row r="50" spans="1:21" ht="12.75">
      <c r="A50">
        <f t="shared" si="11"/>
        <v>175</v>
      </c>
      <c r="B50" s="1">
        <f t="shared" si="18"/>
        <v>0.9884887344439104</v>
      </c>
      <c r="C50" s="1">
        <f t="shared" si="3"/>
        <v>-18.481099552237765</v>
      </c>
      <c r="D50">
        <f t="shared" si="19"/>
        <v>56.204938300180956</v>
      </c>
      <c r="E50">
        <f t="shared" si="4"/>
        <v>217.90202508609542</v>
      </c>
      <c r="F50">
        <f t="shared" si="20"/>
        <v>55.65291138712254</v>
      </c>
      <c r="G50">
        <f t="shared" si="5"/>
        <v>-166.33273873575666</v>
      </c>
      <c r="I50">
        <f t="shared" si="12"/>
        <v>142.41303114701918</v>
      </c>
      <c r="J50" s="13">
        <f t="shared" si="13"/>
        <v>-0.7300641342547465</v>
      </c>
      <c r="K50" s="13">
        <f t="shared" si="14"/>
        <v>-3.3588028990463377</v>
      </c>
      <c r="M50" s="11">
        <v>16000</v>
      </c>
      <c r="N50" s="13">
        <f t="shared" si="6"/>
        <v>-369806.8020402777</v>
      </c>
      <c r="O50">
        <f t="shared" si="7"/>
        <v>-395614.1976447358</v>
      </c>
      <c r="P50">
        <f t="shared" si="8"/>
        <v>25807.395604458114</v>
      </c>
      <c r="Q50">
        <f t="shared" si="9"/>
        <v>81.43392312824471</v>
      </c>
      <c r="R50">
        <f t="shared" si="15"/>
        <v>-1622.3647427883254</v>
      </c>
      <c r="S50">
        <f t="shared" si="16"/>
        <v>0</v>
      </c>
      <c r="T50">
        <f t="shared" si="17"/>
        <v>62427.96466305261</v>
      </c>
      <c r="U50">
        <f t="shared" si="10"/>
        <v>666021667.8850039</v>
      </c>
    </row>
    <row r="51" spans="1:21" ht="12.75">
      <c r="A51">
        <f t="shared" si="11"/>
        <v>180</v>
      </c>
      <c r="B51" s="1">
        <f t="shared" si="18"/>
        <v>0.9745165700625649</v>
      </c>
      <c r="C51" s="1">
        <f t="shared" si="3"/>
        <v>-27.666764213995666</v>
      </c>
      <c r="D51">
        <f t="shared" si="19"/>
        <v>54.87004018871759</v>
      </c>
      <c r="E51">
        <f t="shared" si="4"/>
        <v>213.7137602504206</v>
      </c>
      <c r="F51">
        <f t="shared" si="20"/>
        <v>55.28323429490437</v>
      </c>
      <c r="G51">
        <f t="shared" si="5"/>
        <v>-159.62816353207512</v>
      </c>
      <c r="I51">
        <f t="shared" si="12"/>
        <v>140.40004079933328</v>
      </c>
      <c r="J51" s="13">
        <f t="shared" si="13"/>
        <v>-1.2077942086115399</v>
      </c>
      <c r="K51" s="13">
        <f t="shared" si="14"/>
        <v>-3.4397941271339976</v>
      </c>
      <c r="M51" s="11">
        <v>16000</v>
      </c>
      <c r="N51" s="13">
        <f t="shared" si="6"/>
        <v>-553611.9519220532</v>
      </c>
      <c r="O51">
        <f t="shared" si="7"/>
        <v>-500227.44608196925</v>
      </c>
      <c r="P51">
        <f t="shared" si="8"/>
        <v>-53384.50584008399</v>
      </c>
      <c r="Q51">
        <f t="shared" si="9"/>
        <v>2504.222071217073</v>
      </c>
      <c r="R51">
        <f t="shared" si="15"/>
        <v>-2683.9871302478664</v>
      </c>
      <c r="S51">
        <f t="shared" si="16"/>
        <v>-13788.555117812939</v>
      </c>
      <c r="T51">
        <f t="shared" si="17"/>
        <v>0</v>
      </c>
      <c r="U51">
        <f t="shared" si="10"/>
        <v>2849905463.789962</v>
      </c>
    </row>
    <row r="52" spans="1:21" ht="12.75">
      <c r="A52">
        <f t="shared" si="11"/>
        <v>185</v>
      </c>
      <c r="B52" s="1">
        <f t="shared" si="18"/>
        <v>0.9549751818822537</v>
      </c>
      <c r="C52" s="1">
        <f t="shared" si="3"/>
        <v>-36.84228937552481</v>
      </c>
      <c r="D52">
        <f t="shared" si="19"/>
        <v>53.61133173418761</v>
      </c>
      <c r="E52">
        <f t="shared" si="4"/>
        <v>209.75207837860037</v>
      </c>
      <c r="F52">
        <f t="shared" si="20"/>
        <v>54.766206054809444</v>
      </c>
      <c r="G52">
        <f t="shared" si="5"/>
        <v>-152.85242683745022</v>
      </c>
      <c r="I52">
        <f t="shared" si="12"/>
        <v>137.58468415781908</v>
      </c>
      <c r="J52" s="13">
        <f t="shared" si="13"/>
        <v>-1.6892139849085197</v>
      </c>
      <c r="K52" s="13">
        <f t="shared" si="14"/>
        <v>-3.4663610437800063</v>
      </c>
      <c r="M52" s="11">
        <v>15000</v>
      </c>
      <c r="N52" s="13">
        <f t="shared" si="6"/>
        <v>-700371.9210287266</v>
      </c>
      <c r="O52">
        <f t="shared" si="7"/>
        <v>-601033.6616089292</v>
      </c>
      <c r="P52">
        <f t="shared" si="8"/>
        <v>-99338.25941979745</v>
      </c>
      <c r="Q52">
        <f t="shared" si="9"/>
        <v>3618.018409616705</v>
      </c>
      <c r="R52">
        <f t="shared" si="15"/>
        <v>-3636.502328622508</v>
      </c>
      <c r="S52">
        <f t="shared" si="16"/>
        <v>-76361.38262994072</v>
      </c>
      <c r="T52">
        <f t="shared" si="17"/>
        <v>0</v>
      </c>
      <c r="U52">
        <f t="shared" si="10"/>
        <v>9868089784.554977</v>
      </c>
    </row>
    <row r="53" spans="1:21" ht="12.75">
      <c r="A53">
        <f t="shared" si="11"/>
        <v>190</v>
      </c>
      <c r="B53" s="1">
        <f t="shared" si="18"/>
        <v>0.929924287744673</v>
      </c>
      <c r="C53" s="1">
        <f t="shared" si="3"/>
        <v>-45.82717469266467</v>
      </c>
      <c r="D53">
        <f t="shared" si="19"/>
        <v>52.44169561324729</v>
      </c>
      <c r="E53">
        <f t="shared" si="4"/>
        <v>206.06103357499634</v>
      </c>
      <c r="F53">
        <f t="shared" si="20"/>
        <v>54.10340668819089</v>
      </c>
      <c r="G53">
        <f t="shared" si="5"/>
        <v>-146.01999134989137</v>
      </c>
      <c r="I53">
        <f t="shared" si="12"/>
        <v>133.97556486008324</v>
      </c>
      <c r="J53" s="13">
        <f t="shared" si="13"/>
        <v>-2.1654715786415064</v>
      </c>
      <c r="K53" s="13">
        <f t="shared" si="14"/>
        <v>-3.429191842551206</v>
      </c>
      <c r="M53" s="11">
        <v>14000</v>
      </c>
      <c r="N53" s="13">
        <f t="shared" si="6"/>
        <v>-825347.4162148907</v>
      </c>
      <c r="O53">
        <f t="shared" si="7"/>
        <v>-697265.6480569973</v>
      </c>
      <c r="P53">
        <f t="shared" si="8"/>
        <v>-128081.76815789333</v>
      </c>
      <c r="Q53">
        <f t="shared" si="9"/>
        <v>4222.356687644207</v>
      </c>
      <c r="R53">
        <f t="shared" si="15"/>
        <v>-4361.019151430813</v>
      </c>
      <c r="S53">
        <f t="shared" si="16"/>
        <v>-113710.01378884539</v>
      </c>
      <c r="T53">
        <f t="shared" si="17"/>
        <v>0</v>
      </c>
      <c r="U53">
        <f t="shared" si="10"/>
        <v>16404939334.452337</v>
      </c>
    </row>
    <row r="54" spans="1:21" ht="12.75">
      <c r="A54">
        <f t="shared" si="11"/>
        <v>195</v>
      </c>
      <c r="B54" s="1">
        <f t="shared" si="18"/>
        <v>0.8995388802066037</v>
      </c>
      <c r="C54" s="1">
        <f t="shared" si="3"/>
        <v>-54.42235435461494</v>
      </c>
      <c r="D54">
        <f t="shared" si="19"/>
        <v>51.373932028096306</v>
      </c>
      <c r="E54">
        <f t="shared" si="4"/>
        <v>202.68423096331247</v>
      </c>
      <c r="F54">
        <f t="shared" si="20"/>
        <v>53.299466167741905</v>
      </c>
      <c r="G54">
        <f t="shared" si="5"/>
        <v>-139.1482872442914</v>
      </c>
      <c r="I54">
        <f t="shared" si="12"/>
        <v>129.59789434209975</v>
      </c>
      <c r="J54" s="13">
        <f t="shared" si="13"/>
        <v>-2.6266023107900933</v>
      </c>
      <c r="K54" s="13">
        <f t="shared" si="14"/>
        <v>-3.320274082433123</v>
      </c>
      <c r="M54" s="11">
        <v>14000</v>
      </c>
      <c r="N54" s="13">
        <f t="shared" si="6"/>
        <v>-980146.601926615</v>
      </c>
      <c r="O54">
        <f t="shared" si="7"/>
        <v>-788191.0219028423</v>
      </c>
      <c r="P54">
        <f t="shared" si="8"/>
        <v>-191955.58002377267</v>
      </c>
      <c r="Q54">
        <f t="shared" si="9"/>
        <v>4592.9174491812555</v>
      </c>
      <c r="R54">
        <f t="shared" si="15"/>
        <v>-5107.282270980738</v>
      </c>
      <c r="S54">
        <f t="shared" si="16"/>
        <v>-160018.674090833</v>
      </c>
      <c r="T54">
        <f t="shared" si="17"/>
        <v>0</v>
      </c>
      <c r="U54">
        <f t="shared" si="10"/>
        <v>36846944702.26299</v>
      </c>
    </row>
    <row r="55" spans="1:21" ht="12.75">
      <c r="A55">
        <f t="shared" si="11"/>
        <v>200</v>
      </c>
      <c r="B55" s="1">
        <f t="shared" si="18"/>
        <v>0.8641182067183659</v>
      </c>
      <c r="C55" s="1">
        <f t="shared" si="3"/>
        <v>-62.41821075072577</v>
      </c>
      <c r="D55">
        <f t="shared" si="19"/>
        <v>50.42051438387841</v>
      </c>
      <c r="E55">
        <f t="shared" si="4"/>
        <v>199.6639243965892</v>
      </c>
      <c r="F55">
        <f t="shared" si="20"/>
        <v>52.36230201606448</v>
      </c>
      <c r="G55">
        <f t="shared" si="5"/>
        <v>-132.25770544839608</v>
      </c>
      <c r="I55">
        <f t="shared" si="12"/>
        <v>124.49478562577575</v>
      </c>
      <c r="J55" s="13">
        <f t="shared" si="13"/>
        <v>-3.0618652297944013</v>
      </c>
      <c r="K55" s="13">
        <f t="shared" si="14"/>
        <v>-3.13401837756612</v>
      </c>
      <c r="M55" s="11">
        <v>14000</v>
      </c>
      <c r="N55" s="13">
        <f t="shared" si="6"/>
        <v>-1124151.975620571</v>
      </c>
      <c r="O55">
        <f t="shared" si="7"/>
        <v>-873117.7861492556</v>
      </c>
      <c r="P55">
        <f t="shared" si="8"/>
        <v>-251034.18947131548</v>
      </c>
      <c r="Q55">
        <f t="shared" si="9"/>
        <v>4851.480960391422</v>
      </c>
      <c r="R55">
        <f t="shared" si="15"/>
        <v>-5953.626835711336</v>
      </c>
      <c r="S55">
        <f t="shared" si="16"/>
        <v>-221494.88474754407</v>
      </c>
      <c r="T55">
        <f t="shared" si="17"/>
        <v>0</v>
      </c>
      <c r="U55">
        <f t="shared" si="10"/>
        <v>63018164283.52032</v>
      </c>
    </row>
    <row r="56" spans="1:21" ht="12.75">
      <c r="A56">
        <f t="shared" si="11"/>
        <v>205</v>
      </c>
      <c r="B56" s="1">
        <f t="shared" si="18"/>
        <v>0.8240889442600298</v>
      </c>
      <c r="C56" s="1">
        <f t="shared" si="3"/>
        <v>-69.60567613179698</v>
      </c>
      <c r="D56">
        <f t="shared" si="19"/>
        <v>49.59329116357252</v>
      </c>
      <c r="E56">
        <f t="shared" si="4"/>
        <v>197.03998007759336</v>
      </c>
      <c r="F56">
        <f t="shared" si="20"/>
        <v>51.303203300550315</v>
      </c>
      <c r="G56">
        <f t="shared" si="5"/>
        <v>-125.37138351257602</v>
      </c>
      <c r="I56">
        <f t="shared" si="12"/>
        <v>118.72771069347696</v>
      </c>
      <c r="J56" s="13">
        <f t="shared" si="13"/>
        <v>-3.46024495937927</v>
      </c>
      <c r="K56" s="13">
        <f t="shared" si="14"/>
        <v>-2.8684487909626935</v>
      </c>
      <c r="M56" s="11">
        <v>12500</v>
      </c>
      <c r="N56" s="13">
        <f t="shared" si="6"/>
        <v>-1149189.7129359683</v>
      </c>
      <c r="O56">
        <f t="shared" si="7"/>
        <v>-951399.5968401398</v>
      </c>
      <c r="P56">
        <f t="shared" si="8"/>
        <v>-197790.11609582847</v>
      </c>
      <c r="Q56">
        <f t="shared" si="9"/>
        <v>5061.093507440357</v>
      </c>
      <c r="R56">
        <f t="shared" si="15"/>
        <v>-6367.81190441324</v>
      </c>
      <c r="S56">
        <f t="shared" si="16"/>
        <v>-224412.15278357198</v>
      </c>
      <c r="T56">
        <f t="shared" si="17"/>
        <v>0</v>
      </c>
      <c r="U56">
        <f t="shared" si="10"/>
        <v>39120930025.20131</v>
      </c>
    </row>
    <row r="57" spans="1:21" ht="12.75">
      <c r="A57">
        <f t="shared" si="11"/>
        <v>210</v>
      </c>
      <c r="B57" s="1">
        <f t="shared" si="18"/>
        <v>0.7800008627145953</v>
      </c>
      <c r="C57" s="1">
        <f t="shared" si="3"/>
        <v>-75.78976686949686</v>
      </c>
      <c r="D57">
        <f t="shared" si="19"/>
        <v>48.90314321727255</v>
      </c>
      <c r="E57">
        <f t="shared" si="4"/>
        <v>194.84874315651285</v>
      </c>
      <c r="F57">
        <f t="shared" si="20"/>
        <v>50.13671589442201</v>
      </c>
      <c r="G57">
        <f t="shared" si="5"/>
        <v>-118.51474816014775</v>
      </c>
      <c r="I57">
        <f t="shared" si="12"/>
        <v>112.37587570380005</v>
      </c>
      <c r="J57" s="13">
        <f t="shared" si="13"/>
        <v>-3.81110099380615</v>
      </c>
      <c r="K57" s="13">
        <f t="shared" si="14"/>
        <v>-2.526264498453473</v>
      </c>
      <c r="M57" s="11">
        <v>12000</v>
      </c>
      <c r="N57" s="13">
        <f t="shared" si="6"/>
        <v>-1213394.1675806446</v>
      </c>
      <c r="O57">
        <f t="shared" si="7"/>
        <v>-1022440.6821282869</v>
      </c>
      <c r="P57">
        <f t="shared" si="8"/>
        <v>-190953.48545235768</v>
      </c>
      <c r="Q57">
        <f t="shared" si="9"/>
        <v>5258.278702292704</v>
      </c>
      <c r="R57">
        <f t="shared" si="15"/>
        <v>-6484.164885295185</v>
      </c>
      <c r="S57">
        <f t="shared" si="16"/>
        <v>-194371.80077409308</v>
      </c>
      <c r="T57">
        <f t="shared" si="17"/>
        <v>0</v>
      </c>
      <c r="U57">
        <f t="shared" si="10"/>
        <v>36463233606.40378</v>
      </c>
    </row>
    <row r="58" spans="1:21" ht="12.75">
      <c r="A58">
        <f t="shared" si="11"/>
        <v>215</v>
      </c>
      <c r="B58" s="1">
        <f t="shared" si="18"/>
        <v>0.7325138750794933</v>
      </c>
      <c r="C58" s="1">
        <f t="shared" si="3"/>
        <v>-80.80421157544707</v>
      </c>
      <c r="D58">
        <f t="shared" si="19"/>
        <v>48.35961440639054</v>
      </c>
      <c r="E58">
        <f t="shared" si="4"/>
        <v>193.12186560084</v>
      </c>
      <c r="F58">
        <f t="shared" si="20"/>
        <v>48.88029984977665</v>
      </c>
      <c r="G58">
        <f t="shared" si="5"/>
        <v>-111.71480330462038</v>
      </c>
      <c r="I58">
        <f t="shared" si="12"/>
        <v>105.53435529642746</v>
      </c>
      <c r="J58" s="13">
        <f t="shared" si="13"/>
        <v>-4.10491224442355</v>
      </c>
      <c r="K58" s="13">
        <f t="shared" si="14"/>
        <v>-2.115525625470302</v>
      </c>
      <c r="M58" s="11">
        <v>11500</v>
      </c>
      <c r="N58" s="13">
        <f t="shared" si="6"/>
        <v>-1253273.321535184</v>
      </c>
      <c r="O58">
        <f t="shared" si="7"/>
        <v>-1085700.3764588747</v>
      </c>
      <c r="P58">
        <f t="shared" si="8"/>
        <v>-167572.94507630938</v>
      </c>
      <c r="Q58">
        <f t="shared" si="9"/>
        <v>5465.995885980999</v>
      </c>
      <c r="R58">
        <f t="shared" si="15"/>
        <v>-6698.988732218989</v>
      </c>
      <c r="S58">
        <f t="shared" si="16"/>
        <v>-179263.21526433353</v>
      </c>
      <c r="T58">
        <f t="shared" si="17"/>
        <v>0</v>
      </c>
      <c r="U58">
        <f t="shared" si="10"/>
        <v>28080691921.5478</v>
      </c>
    </row>
    <row r="59" spans="1:21" ht="12.75">
      <c r="A59">
        <f t="shared" si="11"/>
        <v>220</v>
      </c>
      <c r="B59" s="1">
        <f t="shared" si="18"/>
        <v>0.6823763702575462</v>
      </c>
      <c r="C59" s="1">
        <f t="shared" si="3"/>
        <v>-84.5252529856392</v>
      </c>
      <c r="D59">
        <f t="shared" si="19"/>
        <v>47.97054214809349</v>
      </c>
      <c r="E59">
        <f t="shared" si="4"/>
        <v>191.88517262812556</v>
      </c>
      <c r="F59">
        <f t="shared" si="20"/>
        <v>47.55375612413897</v>
      </c>
      <c r="G59">
        <f t="shared" si="5"/>
        <v>-104.99918732068565</v>
      </c>
      <c r="I59">
        <f t="shared" si="12"/>
        <v>98.31097096533682</v>
      </c>
      <c r="J59" s="13">
        <f t="shared" si="13"/>
        <v>-4.334030598654385</v>
      </c>
      <c r="K59" s="13">
        <f t="shared" si="14"/>
        <v>-1.6497181391875766</v>
      </c>
      <c r="M59" s="11">
        <v>10700</v>
      </c>
      <c r="N59" s="13">
        <f t="shared" si="6"/>
        <v>-1243366.4714187526</v>
      </c>
      <c r="O59">
        <f t="shared" si="7"/>
        <v>-1140697.2353607994</v>
      </c>
      <c r="P59">
        <f t="shared" si="8"/>
        <v>-102669.23605795321</v>
      </c>
      <c r="Q59">
        <f t="shared" si="9"/>
        <v>5699.491617851005</v>
      </c>
      <c r="R59">
        <f t="shared" si="15"/>
        <v>-6681.6305062588435</v>
      </c>
      <c r="S59">
        <f t="shared" si="16"/>
        <v>-135121.0905671313</v>
      </c>
      <c r="T59">
        <f t="shared" si="17"/>
        <v>0</v>
      </c>
      <c r="U59">
        <f t="shared" si="10"/>
        <v>10540972032.72372</v>
      </c>
    </row>
    <row r="60" spans="1:21" ht="12.75">
      <c r="A60">
        <f t="shared" si="11"/>
        <v>225</v>
      </c>
      <c r="B60" s="1">
        <f t="shared" si="18"/>
        <v>0.630395986867007</v>
      </c>
      <c r="C60" s="1">
        <f t="shared" si="3"/>
        <v>-86.8824458872764</v>
      </c>
      <c r="D60">
        <f t="shared" si="19"/>
        <v>47.74172082438833</v>
      </c>
      <c r="E60">
        <f t="shared" si="4"/>
        <v>191.15765716404255</v>
      </c>
      <c r="F60">
        <f t="shared" si="20"/>
        <v>46.1784533106496</v>
      </c>
      <c r="G60">
        <f t="shared" si="5"/>
        <v>-98.39506318349112</v>
      </c>
      <c r="I60">
        <f t="shared" si="12"/>
        <v>90.82208039847028</v>
      </c>
      <c r="J60" s="13">
        <f t="shared" si="13"/>
        <v>-4.493334340119926</v>
      </c>
      <c r="K60" s="13">
        <f t="shared" si="14"/>
        <v>-1.1470328198646893</v>
      </c>
      <c r="M60" s="11">
        <v>10200</v>
      </c>
      <c r="N60" s="13">
        <f t="shared" si="6"/>
        <v>-1234599.5560581977</v>
      </c>
      <c r="O60">
        <f t="shared" si="7"/>
        <v>-1187012.6995298057</v>
      </c>
      <c r="P60">
        <f t="shared" si="8"/>
        <v>-47586.85652839206</v>
      </c>
      <c r="Q60">
        <f t="shared" si="9"/>
        <v>5969.147003465936</v>
      </c>
      <c r="R60">
        <f t="shared" si="15"/>
        <v>-6521.575535312949</v>
      </c>
      <c r="S60">
        <f t="shared" si="16"/>
        <v>-75128.04629317264</v>
      </c>
      <c r="T60">
        <f t="shared" si="17"/>
        <v>0</v>
      </c>
      <c r="U60">
        <f t="shared" si="10"/>
        <v>2264508914.2537704</v>
      </c>
    </row>
    <row r="61" spans="1:21" ht="12.75">
      <c r="A61">
        <f t="shared" si="11"/>
        <v>230</v>
      </c>
      <c r="B61" s="1">
        <f t="shared" si="18"/>
        <v>0.5774052601066162</v>
      </c>
      <c r="C61" s="1">
        <f t="shared" si="3"/>
        <v>-87.86451490804073</v>
      </c>
      <c r="D61">
        <f t="shared" si="19"/>
        <v>47.676633045120965</v>
      </c>
      <c r="E61">
        <f t="shared" si="4"/>
        <v>190.95069277353795</v>
      </c>
      <c r="F61">
        <f t="shared" si="20"/>
        <v>44.77641871896792</v>
      </c>
      <c r="G61">
        <f t="shared" si="5"/>
        <v>-91.92794081254206</v>
      </c>
      <c r="I61">
        <f t="shared" si="12"/>
        <v>83.18762817087239</v>
      </c>
      <c r="J61" s="13">
        <f t="shared" si="13"/>
        <v>-4.5806713365587335</v>
      </c>
      <c r="K61" s="13">
        <f t="shared" si="14"/>
        <v>-0.6288515284205511</v>
      </c>
      <c r="M61" s="11">
        <v>9155</v>
      </c>
      <c r="N61" s="13">
        <f t="shared" si="6"/>
        <v>-1156736.3387643562</v>
      </c>
      <c r="O61">
        <f t="shared" si="7"/>
        <v>-1224294.280317526</v>
      </c>
      <c r="P61">
        <f t="shared" si="8"/>
        <v>67557.94155316986</v>
      </c>
      <c r="Q61">
        <f t="shared" si="9"/>
        <v>6281.916836551858</v>
      </c>
      <c r="R61">
        <f t="shared" si="15"/>
        <v>-6156.867619381548</v>
      </c>
      <c r="S61">
        <f t="shared" si="16"/>
        <v>0</v>
      </c>
      <c r="T61">
        <f t="shared" si="17"/>
        <v>9985.5425123889</v>
      </c>
      <c r="U61">
        <f t="shared" si="10"/>
        <v>4564075466.901515</v>
      </c>
    </row>
    <row r="62" spans="1:21" ht="12.75">
      <c r="A62">
        <f t="shared" si="11"/>
        <v>235</v>
      </c>
      <c r="B62" s="1">
        <f t="shared" si="18"/>
        <v>0.524225537163059</v>
      </c>
      <c r="C62" s="1">
        <f t="shared" si="3"/>
        <v>-87.51910762641567</v>
      </c>
      <c r="D62">
        <f t="shared" si="19"/>
        <v>47.77627980695536</v>
      </c>
      <c r="E62">
        <f t="shared" si="4"/>
        <v>191.26754266549236</v>
      </c>
      <c r="F62">
        <f t="shared" si="20"/>
        <v>43.36938364507558</v>
      </c>
      <c r="G62">
        <f t="shared" si="5"/>
        <v>-85.62055250048411</v>
      </c>
      <c r="I62">
        <f t="shared" si="12"/>
        <v>75.52594698417558</v>
      </c>
      <c r="J62" s="13">
        <f t="shared" si="13"/>
        <v>-4.597008712018086</v>
      </c>
      <c r="K62" s="13">
        <f t="shared" si="14"/>
        <v>-0.1176338086596847</v>
      </c>
      <c r="M62" s="11">
        <v>9900</v>
      </c>
      <c r="N62" s="13">
        <f t="shared" si="6"/>
        <v>-1217390.787083442</v>
      </c>
      <c r="O62">
        <f t="shared" si="7"/>
        <v>-1252258.242382932</v>
      </c>
      <c r="P62">
        <f t="shared" si="8"/>
        <v>34867.4552994899</v>
      </c>
      <c r="Q62">
        <f t="shared" si="9"/>
        <v>6642.053793354158</v>
      </c>
      <c r="R62">
        <f t="shared" si="15"/>
        <v>-6083.055625521155</v>
      </c>
      <c r="S62">
        <f t="shared" si="16"/>
        <v>0</v>
      </c>
      <c r="T62">
        <f t="shared" si="17"/>
        <v>51212.69842632988</v>
      </c>
      <c r="U62">
        <f t="shared" si="10"/>
        <v>1215739439.0619261</v>
      </c>
    </row>
    <row r="63" spans="1:21" ht="12.75">
      <c r="A63">
        <f t="shared" si="11"/>
        <v>240</v>
      </c>
      <c r="B63" s="1">
        <f t="shared" si="18"/>
        <v>0.4716329293426461</v>
      </c>
      <c r="C63" s="1">
        <f t="shared" si="3"/>
        <v>-85.94641383401459</v>
      </c>
      <c r="D63">
        <f t="shared" si="19"/>
        <v>48.03913050525307</v>
      </c>
      <c r="E63">
        <f t="shared" si="4"/>
        <v>192.10321606869903</v>
      </c>
      <c r="F63">
        <f t="shared" si="20"/>
        <v>41.97788252895796</v>
      </c>
      <c r="G63">
        <f t="shared" si="5"/>
        <v>-79.49190208266421</v>
      </c>
      <c r="I63">
        <f t="shared" si="12"/>
        <v>67.94885233995085</v>
      </c>
      <c r="J63" s="13">
        <f t="shared" si="13"/>
        <v>-4.546256786534837</v>
      </c>
      <c r="K63" s="13">
        <f t="shared" si="14"/>
        <v>0.3654284806186185</v>
      </c>
      <c r="M63" s="11">
        <v>10200</v>
      </c>
      <c r="N63" s="13">
        <f t="shared" si="6"/>
        <v>-1221298.5405813474</v>
      </c>
      <c r="O63">
        <f t="shared" si="7"/>
        <v>-1270691.7630896037</v>
      </c>
      <c r="P63">
        <f t="shared" si="8"/>
        <v>49393.22250825632</v>
      </c>
      <c r="Q63">
        <f t="shared" si="9"/>
        <v>7051.4477170117025</v>
      </c>
      <c r="R63">
        <f t="shared" si="15"/>
        <v>-6345.81676453821</v>
      </c>
      <c r="S63">
        <f t="shared" si="16"/>
        <v>0</v>
      </c>
      <c r="T63">
        <f t="shared" si="17"/>
        <v>42130.33890387311</v>
      </c>
      <c r="U63">
        <f t="shared" si="10"/>
        <v>2439690429.750119</v>
      </c>
    </row>
    <row r="64" spans="1:21" ht="12.75">
      <c r="A64">
        <f t="shared" si="11"/>
        <v>245</v>
      </c>
      <c r="B64" s="1">
        <f t="shared" si="18"/>
        <v>0.4203297234588818</v>
      </c>
      <c r="C64" s="1">
        <f t="shared" si="3"/>
        <v>-83.2877971327176</v>
      </c>
      <c r="D64">
        <f t="shared" si="19"/>
        <v>48.46119915762259</v>
      </c>
      <c r="E64">
        <f t="shared" si="4"/>
        <v>193.44468739298526</v>
      </c>
      <c r="F64">
        <f t="shared" si="20"/>
        <v>40.620496553890156</v>
      </c>
      <c r="G64">
        <f t="shared" si="5"/>
        <v>-73.55658475996592</v>
      </c>
      <c r="I64">
        <f t="shared" si="12"/>
        <v>60.55752373611329</v>
      </c>
      <c r="J64" s="13">
        <f t="shared" si="13"/>
        <v>-4.434797162302534</v>
      </c>
      <c r="K64" s="13">
        <f t="shared" si="14"/>
        <v>0.8025413961284278</v>
      </c>
      <c r="M64" s="11">
        <v>10600</v>
      </c>
      <c r="N64" s="13">
        <f t="shared" si="6"/>
        <v>-1216834.716109004</v>
      </c>
      <c r="O64">
        <f t="shared" si="7"/>
        <v>-1279454.552214499</v>
      </c>
      <c r="P64">
        <f t="shared" si="8"/>
        <v>62619.83610549499</v>
      </c>
      <c r="Q64">
        <f t="shared" si="9"/>
        <v>7509.749414018306</v>
      </c>
      <c r="R64">
        <f t="shared" si="15"/>
        <v>-6405.818123325883</v>
      </c>
      <c r="S64">
        <f t="shared" si="16"/>
        <v>0</v>
      </c>
      <c r="T64">
        <f t="shared" si="17"/>
        <v>56006.52930687566</v>
      </c>
      <c r="U64">
        <f t="shared" si="10"/>
        <v>3921243873.879054</v>
      </c>
    </row>
    <row r="65" spans="1:21" ht="12.75">
      <c r="A65">
        <f t="shared" si="11"/>
        <v>250</v>
      </c>
      <c r="B65" s="1">
        <f t="shared" si="18"/>
        <v>0.3709236962807243</v>
      </c>
      <c r="C65" s="1">
        <f t="shared" si="3"/>
        <v>-79.71144720807659</v>
      </c>
      <c r="D65">
        <f t="shared" si="19"/>
        <v>49.036237177432845</v>
      </c>
      <c r="E65">
        <f t="shared" si="4"/>
        <v>195.27145472857455</v>
      </c>
      <c r="F65">
        <f t="shared" si="20"/>
        <v>39.31330634578909</v>
      </c>
      <c r="G65">
        <f t="shared" si="5"/>
        <v>-67.82443257167512</v>
      </c>
      <c r="I65">
        <f t="shared" si="12"/>
        <v>53.439524468947475</v>
      </c>
      <c r="J65" s="13">
        <f t="shared" si="13"/>
        <v>-4.270799560299489</v>
      </c>
      <c r="K65" s="13">
        <f t="shared" si="14"/>
        <v>1.1808299676206282</v>
      </c>
      <c r="M65" s="11">
        <v>11000</v>
      </c>
      <c r="N65" s="13">
        <f t="shared" si="6"/>
        <v>-1196468.8225932296</v>
      </c>
      <c r="O65">
        <f t="shared" si="7"/>
        <v>-1278479.9196412608</v>
      </c>
      <c r="P65">
        <f t="shared" si="8"/>
        <v>82011.09704803117</v>
      </c>
      <c r="Q65">
        <f t="shared" si="9"/>
        <v>8014.369814027725</v>
      </c>
      <c r="R65">
        <f t="shared" si="15"/>
        <v>-6406.199340449232</v>
      </c>
      <c r="S65">
        <f t="shared" si="16"/>
        <v>0</v>
      </c>
      <c r="T65">
        <f t="shared" si="17"/>
        <v>72315.46657676308</v>
      </c>
      <c r="U65">
        <f t="shared" si="10"/>
        <v>6725820039.021586</v>
      </c>
    </row>
    <row r="66" spans="1:21" ht="12.75">
      <c r="A66">
        <f t="shared" si="11"/>
        <v>255</v>
      </c>
      <c r="B66" s="1">
        <f t="shared" si="18"/>
        <v>0.32391643323703184</v>
      </c>
      <c r="C66" s="1">
        <f t="shared" si="3"/>
        <v>-75.39737816476918</v>
      </c>
      <c r="D66">
        <f t="shared" si="19"/>
        <v>49.756019166776966</v>
      </c>
      <c r="E66">
        <f t="shared" si="4"/>
        <v>197.55637988668883</v>
      </c>
      <c r="F66">
        <f t="shared" si="20"/>
        <v>38.069582908185666</v>
      </c>
      <c r="G66">
        <f t="shared" si="5"/>
        <v>-62.30049112341581</v>
      </c>
      <c r="I66">
        <f t="shared" si="12"/>
        <v>46.66711869161349</v>
      </c>
      <c r="J66" s="13">
        <f t="shared" si="13"/>
        <v>-4.063443466400392</v>
      </c>
      <c r="K66" s="13">
        <f t="shared" si="14"/>
        <v>1.4930235970173809</v>
      </c>
      <c r="M66" s="11">
        <v>11600</v>
      </c>
      <c r="N66" s="13">
        <f t="shared" si="6"/>
        <v>-1176953.0731520469</v>
      </c>
      <c r="O66">
        <f t="shared" si="7"/>
        <v>-1267775.282912271</v>
      </c>
      <c r="P66">
        <f t="shared" si="8"/>
        <v>90822.20976022421</v>
      </c>
      <c r="Q66">
        <f t="shared" si="9"/>
        <v>8560.401066746066</v>
      </c>
      <c r="R66">
        <f t="shared" si="15"/>
        <v>-6377.34877365617</v>
      </c>
      <c r="S66">
        <f t="shared" si="16"/>
        <v>0</v>
      </c>
      <c r="T66">
        <f t="shared" si="17"/>
        <v>86416.65340412769</v>
      </c>
      <c r="U66">
        <f t="shared" si="10"/>
        <v>8248673785.730166</v>
      </c>
    </row>
    <row r="67" spans="1:21" ht="12.75">
      <c r="A67">
        <f t="shared" si="11"/>
        <v>260</v>
      </c>
      <c r="B67" s="1">
        <f t="shared" si="18"/>
        <v>0.2797003941785403</v>
      </c>
      <c r="C67" s="1">
        <f t="shared" si="3"/>
        <v>-70.5238477101987</v>
      </c>
      <c r="D67">
        <f t="shared" si="19"/>
        <v>50.61068932783764</v>
      </c>
      <c r="E67">
        <f t="shared" si="4"/>
        <v>200.26672850075875</v>
      </c>
      <c r="F67">
        <f t="shared" si="20"/>
        <v>36.899709987826114</v>
      </c>
      <c r="G67">
        <f t="shared" si="5"/>
        <v>-56.98528836411694</v>
      </c>
      <c r="I67">
        <f t="shared" si="12"/>
        <v>40.296848674143625</v>
      </c>
      <c r="J67" s="13">
        <f t="shared" si="13"/>
        <v>-3.822162010481918</v>
      </c>
      <c r="K67" s="13">
        <f t="shared" si="14"/>
        <v>1.7372959744519871</v>
      </c>
      <c r="M67" s="11">
        <v>12000</v>
      </c>
      <c r="N67" s="13">
        <f t="shared" si="6"/>
        <v>-1129086.801840281</v>
      </c>
      <c r="O67">
        <f t="shared" si="7"/>
        <v>-1247422.1107766733</v>
      </c>
      <c r="P67">
        <f t="shared" si="8"/>
        <v>118335.30893639219</v>
      </c>
      <c r="Q67">
        <f t="shared" si="9"/>
        <v>9140.475206453542</v>
      </c>
      <c r="R67">
        <f t="shared" si="15"/>
        <v>-6264.098850512032</v>
      </c>
      <c r="S67">
        <f t="shared" si="16"/>
        <v>0</v>
      </c>
      <c r="T67">
        <f t="shared" si="17"/>
        <v>104578.7593483082</v>
      </c>
      <c r="U67">
        <f t="shared" si="10"/>
        <v>14003245341.07138</v>
      </c>
    </row>
    <row r="68" spans="1:21" ht="12.75">
      <c r="A68">
        <f t="shared" si="11"/>
        <v>265</v>
      </c>
      <c r="B68" s="1">
        <f t="shared" si="18"/>
        <v>0.23856339526636766</v>
      </c>
      <c r="C68" s="1">
        <f t="shared" si="3"/>
        <v>-65.25662192627566</v>
      </c>
      <c r="D68">
        <f t="shared" si="19"/>
        <v>51.58913346942347</v>
      </c>
      <c r="E68">
        <f t="shared" si="4"/>
        <v>203.36531885007125</v>
      </c>
      <c r="F68">
        <f t="shared" si="20"/>
        <v>35.81130265698066</v>
      </c>
      <c r="G68">
        <f t="shared" si="5"/>
        <v>-51.87532517485731</v>
      </c>
      <c r="I68">
        <f t="shared" si="12"/>
        <v>34.370180515735235</v>
      </c>
      <c r="J68" s="13">
        <f t="shared" si="13"/>
        <v>-3.556000895045034</v>
      </c>
      <c r="K68" s="13">
        <f t="shared" si="14"/>
        <v>1.9164366886131088</v>
      </c>
      <c r="M68" s="11">
        <v>12000</v>
      </c>
      <c r="N68" s="13">
        <f t="shared" si="6"/>
        <v>-1044758.5170396733</v>
      </c>
      <c r="O68">
        <f t="shared" si="7"/>
        <v>-1217575.303164001</v>
      </c>
      <c r="P68">
        <f t="shared" si="8"/>
        <v>172816.7861243278</v>
      </c>
      <c r="Q68">
        <f t="shared" si="9"/>
        <v>9744.54745693159</v>
      </c>
      <c r="R68">
        <f t="shared" si="15"/>
        <v>-5926.66815840839</v>
      </c>
      <c r="S68">
        <f t="shared" si="16"/>
        <v>0</v>
      </c>
      <c r="T68">
        <f t="shared" si="17"/>
        <v>145576.04753036</v>
      </c>
      <c r="U68">
        <f t="shared" si="10"/>
        <v>29865641566.34166</v>
      </c>
    </row>
    <row r="69" spans="1:21" ht="12.75">
      <c r="A69">
        <f t="shared" si="11"/>
        <v>270</v>
      </c>
      <c r="B69" s="1">
        <f t="shared" si="18"/>
        <v>0.2006985521807819</v>
      </c>
      <c r="C69" s="1">
        <f t="shared" si="3"/>
        <v>-59.741719004879215</v>
      </c>
      <c r="D69">
        <f t="shared" si="19"/>
        <v>52.67934469813718</v>
      </c>
      <c r="E69">
        <f t="shared" si="4"/>
        <v>206.81169170247603</v>
      </c>
      <c r="F69">
        <f t="shared" si="20"/>
        <v>34.809470391976284</v>
      </c>
      <c r="G69">
        <f t="shared" si="5"/>
        <v>-46.96370413856664</v>
      </c>
      <c r="I69">
        <f t="shared" si="12"/>
        <v>28.914936677515744</v>
      </c>
      <c r="J69" s="13">
        <f t="shared" si="13"/>
        <v>-3.2731463029316945</v>
      </c>
      <c r="K69" s="13">
        <f t="shared" si="14"/>
        <v>2.0366345285971894</v>
      </c>
      <c r="M69" s="11">
        <v>11700</v>
      </c>
      <c r="N69" s="13">
        <f t="shared" si="6"/>
        <v>-938542.4055666524</v>
      </c>
      <c r="O69">
        <f t="shared" si="7"/>
        <v>-1178462.012302182</v>
      </c>
      <c r="P69">
        <f t="shared" si="8"/>
        <v>239919.6067355295</v>
      </c>
      <c r="Q69">
        <f t="shared" si="9"/>
        <v>10359.556594648202</v>
      </c>
      <c r="R69">
        <f t="shared" si="15"/>
        <v>-5387.053290241748</v>
      </c>
      <c r="S69">
        <f t="shared" si="16"/>
        <v>0</v>
      </c>
      <c r="T69">
        <f t="shared" si="17"/>
        <v>206368.19642992865</v>
      </c>
      <c r="U69">
        <f t="shared" si="10"/>
        <v>57561417696.13113</v>
      </c>
    </row>
    <row r="70" spans="1:21" ht="12.75">
      <c r="A70">
        <f t="shared" si="11"/>
        <v>275</v>
      </c>
      <c r="B70" s="1">
        <f t="shared" si="18"/>
        <v>0.16621756733555218</v>
      </c>
      <c r="C70" s="1">
        <f t="shared" si="3"/>
        <v>-54.10156511382391</v>
      </c>
      <c r="D70">
        <f t="shared" si="19"/>
        <v>53.8687579505246</v>
      </c>
      <c r="E70">
        <f t="shared" si="4"/>
        <v>210.5632274686156</v>
      </c>
      <c r="F70">
        <f t="shared" si="20"/>
        <v>33.89716862780423</v>
      </c>
      <c r="G70">
        <f t="shared" si="5"/>
        <v>-42.24081562678201</v>
      </c>
      <c r="I70">
        <f t="shared" si="12"/>
        <v>23.947210291128446</v>
      </c>
      <c r="J70" s="13">
        <f t="shared" si="13"/>
        <v>-2.9806358318323785</v>
      </c>
      <c r="K70" s="13">
        <f t="shared" si="14"/>
        <v>2.1061596383006074</v>
      </c>
      <c r="M70" s="11">
        <v>11500</v>
      </c>
      <c r="N70" s="13">
        <f t="shared" si="6"/>
        <v>-839115.2749154088</v>
      </c>
      <c r="O70">
        <f t="shared" si="7"/>
        <v>-1130379.9139519248</v>
      </c>
      <c r="P70">
        <f t="shared" si="8"/>
        <v>291264.63903651596</v>
      </c>
      <c r="Q70">
        <f t="shared" si="9"/>
        <v>10968.862667779982</v>
      </c>
      <c r="R70">
        <f t="shared" si="15"/>
        <v>-4802.135506841055</v>
      </c>
      <c r="S70">
        <f t="shared" si="16"/>
        <v>0</v>
      </c>
      <c r="T70">
        <f t="shared" si="17"/>
        <v>265592.1228860227</v>
      </c>
      <c r="U70">
        <f t="shared" si="10"/>
        <v>84835089953.07193</v>
      </c>
    </row>
    <row r="71" spans="1:21" ht="12.75">
      <c r="A71">
        <f t="shared" si="11"/>
        <v>280</v>
      </c>
      <c r="B71" s="1">
        <f t="shared" si="18"/>
        <v>0.13516544082601484</v>
      </c>
      <c r="C71" s="1">
        <f t="shared" si="3"/>
        <v>-48.43402153801739</v>
      </c>
      <c r="D71">
        <f t="shared" si="19"/>
        <v>55.144537307659625</v>
      </c>
      <c r="E71">
        <f t="shared" si="4"/>
        <v>214.57615678897125</v>
      </c>
      <c r="F71">
        <f t="shared" si="20"/>
        <v>33.07558798203378</v>
      </c>
      <c r="G71">
        <f t="shared" si="5"/>
        <v>-37.69501433814659</v>
      </c>
      <c r="I71">
        <f t="shared" si="12"/>
        <v>19.473484586736166</v>
      </c>
      <c r="J71" s="13">
        <f t="shared" si="13"/>
        <v>-2.6842354226353677</v>
      </c>
      <c r="K71" s="13">
        <f t="shared" si="14"/>
        <v>2.134168312950995</v>
      </c>
      <c r="M71" s="11">
        <v>11200</v>
      </c>
      <c r="N71" s="13">
        <f t="shared" si="6"/>
        <v>-736681.4675932445</v>
      </c>
      <c r="O71">
        <f t="shared" si="7"/>
        <v>-1073694.9419144401</v>
      </c>
      <c r="P71">
        <f t="shared" si="8"/>
        <v>337013.4743211956</v>
      </c>
      <c r="Q71">
        <f t="shared" si="9"/>
        <v>11551.271147448311</v>
      </c>
      <c r="R71">
        <f t="shared" si="15"/>
        <v>-4231.398895404364</v>
      </c>
      <c r="S71">
        <f t="shared" si="16"/>
        <v>0</v>
      </c>
      <c r="T71">
        <f t="shared" si="17"/>
        <v>314139.0566788558</v>
      </c>
      <c r="U71">
        <f t="shared" si="10"/>
        <v>113578081874.04318</v>
      </c>
    </row>
    <row r="72" spans="1:21" ht="12.75">
      <c r="A72">
        <f t="shared" si="11"/>
        <v>285</v>
      </c>
      <c r="B72" s="1">
        <f t="shared" si="18"/>
        <v>0.10753509127974813</v>
      </c>
      <c r="C72" s="1">
        <f t="shared" si="3"/>
        <v>-42.813521779788985</v>
      </c>
      <c r="D72">
        <f t="shared" si="19"/>
        <v>56.49380857346255</v>
      </c>
      <c r="E72">
        <f t="shared" si="4"/>
        <v>218.80643185803848</v>
      </c>
      <c r="F72">
        <f t="shared" si="20"/>
        <v>32.344541094919215</v>
      </c>
      <c r="G72">
        <f t="shared" si="5"/>
        <v>-33.313238716834945</v>
      </c>
      <c r="I72">
        <f t="shared" si="12"/>
        <v>15.492739340560792</v>
      </c>
      <c r="J72" s="13">
        <f t="shared" si="13"/>
        <v>-2.3884471477052243</v>
      </c>
      <c r="K72" s="13">
        <f t="shared" si="14"/>
        <v>2.12976076992783</v>
      </c>
      <c r="M72" s="11">
        <v>11000</v>
      </c>
      <c r="N72" s="13">
        <f t="shared" si="6"/>
        <v>-642630.9619146327</v>
      </c>
      <c r="O72">
        <f t="shared" si="7"/>
        <v>-1008838.5030542547</v>
      </c>
      <c r="P72">
        <f t="shared" si="8"/>
        <v>366207.541139622</v>
      </c>
      <c r="Q72">
        <f t="shared" si="9"/>
        <v>12079.274472613819</v>
      </c>
      <c r="R72">
        <f t="shared" si="15"/>
        <v>-3682.189352712221</v>
      </c>
      <c r="S72">
        <f t="shared" si="16"/>
        <v>0</v>
      </c>
      <c r="T72">
        <f t="shared" si="17"/>
        <v>351610.5077304088</v>
      </c>
      <c r="U72">
        <f t="shared" si="10"/>
        <v>134107963187.52792</v>
      </c>
    </row>
    <row r="73" spans="1:21" ht="12.75">
      <c r="A73">
        <f t="shared" si="11"/>
        <v>290</v>
      </c>
      <c r="B73" s="1">
        <f t="shared" si="18"/>
        <v>0.08328084682440148</v>
      </c>
      <c r="C73" s="1">
        <f t="shared" si="3"/>
        <v>-37.293542765334685</v>
      </c>
      <c r="D73">
        <f t="shared" si="19"/>
        <v>57.90383660759081</v>
      </c>
      <c r="E73">
        <f t="shared" si="4"/>
        <v>223.21044490040734</v>
      </c>
      <c r="F73">
        <f t="shared" si="20"/>
        <v>31.702819574939653</v>
      </c>
      <c r="G73">
        <f t="shared" si="5"/>
        <v>-29.081545230983636</v>
      </c>
      <c r="I73">
        <f t="shared" si="12"/>
        <v>11.998394538533416</v>
      </c>
      <c r="J73" s="13">
        <f t="shared" si="13"/>
        <v>-2.0966068812164256</v>
      </c>
      <c r="K73" s="13">
        <f t="shared" si="14"/>
        <v>2.1013339720782334</v>
      </c>
      <c r="M73" s="11">
        <v>10900</v>
      </c>
      <c r="N73" s="13">
        <f t="shared" si="6"/>
        <v>-556046.7226311401</v>
      </c>
      <c r="O73">
        <f t="shared" si="7"/>
        <v>-936304.1940324839</v>
      </c>
      <c r="P73">
        <f t="shared" si="8"/>
        <v>380257.4714013437</v>
      </c>
      <c r="Q73">
        <f t="shared" si="9"/>
        <v>12515.761521518802</v>
      </c>
      <c r="R73">
        <f t="shared" si="15"/>
        <v>-3188.5896318499804</v>
      </c>
      <c r="S73">
        <f t="shared" si="16"/>
        <v>0</v>
      </c>
      <c r="T73">
        <f t="shared" si="17"/>
        <v>373232.50627048285</v>
      </c>
      <c r="U73">
        <f t="shared" si="10"/>
        <v>144595744556.54373</v>
      </c>
    </row>
    <row r="74" spans="1:21" ht="12.75">
      <c r="A74">
        <f t="shared" si="11"/>
        <v>295</v>
      </c>
      <c r="B74" s="1">
        <f t="shared" si="18"/>
        <v>0.06233020641320943</v>
      </c>
      <c r="C74" s="1">
        <f t="shared" si="3"/>
        <v>-31.909747743469197</v>
      </c>
      <c r="D74">
        <f t="shared" si="19"/>
        <v>59.362151838741255</v>
      </c>
      <c r="E74">
        <f t="shared" si="4"/>
        <v>227.74559527137856</v>
      </c>
      <c r="F74">
        <f t="shared" si="20"/>
        <v>31.148505181268582</v>
      </c>
      <c r="G74">
        <f t="shared" si="5"/>
        <v>-24.98554606846301</v>
      </c>
      <c r="I74">
        <f t="shared" si="12"/>
        <v>8.980004847822789</v>
      </c>
      <c r="J74" s="13">
        <f t="shared" si="13"/>
        <v>-1.8110338144263762</v>
      </c>
      <c r="K74" s="13">
        <f t="shared" si="14"/>
        <v>2.056208329221524</v>
      </c>
      <c r="M74" s="11">
        <v>10800</v>
      </c>
      <c r="N74" s="13">
        <f t="shared" si="6"/>
        <v>-472583.3640807788</v>
      </c>
      <c r="O74">
        <f t="shared" si="7"/>
        <v>-856644.0447381961</v>
      </c>
      <c r="P74">
        <f t="shared" si="8"/>
        <v>384060.6806574173</v>
      </c>
      <c r="Q74">
        <f t="shared" si="9"/>
        <v>12807.558354030807</v>
      </c>
      <c r="R74">
        <f t="shared" si="15"/>
        <v>-2729.127345350859</v>
      </c>
      <c r="S74">
        <f t="shared" si="16"/>
        <v>0</v>
      </c>
      <c r="T74">
        <f t="shared" si="17"/>
        <v>382159.0760293805</v>
      </c>
      <c r="U74">
        <f t="shared" si="10"/>
        <v>147502606427.03867</v>
      </c>
    </row>
    <row r="75" spans="1:21" ht="12.75">
      <c r="A75">
        <f t="shared" si="11"/>
        <v>300</v>
      </c>
      <c r="B75" s="1">
        <f t="shared" si="18"/>
        <v>0.044593623370213276</v>
      </c>
      <c r="C75" s="1">
        <f t="shared" si="3"/>
        <v>-26.683306153777274</v>
      </c>
      <c r="D75">
        <f t="shared" si="19"/>
        <v>60.85663327755329</v>
      </c>
      <c r="E75">
        <f t="shared" si="4"/>
        <v>232.37071702003036</v>
      </c>
      <c r="F75">
        <f t="shared" si="20"/>
        <v>30.679228677910583</v>
      </c>
      <c r="G75">
        <f t="shared" si="5"/>
        <v>-21.01075100391705</v>
      </c>
      <c r="I75">
        <f t="shared" si="12"/>
        <v>6.424669146637586</v>
      </c>
      <c r="J75" s="13">
        <f t="shared" si="13"/>
        <v>-1.5332014207111218</v>
      </c>
      <c r="K75" s="13">
        <f t="shared" si="14"/>
        <v>2.0004732536799796</v>
      </c>
      <c r="M75" s="11">
        <v>11300</v>
      </c>
      <c r="N75" s="13">
        <f t="shared" si="6"/>
        <v>-408521.41721433005</v>
      </c>
      <c r="O75">
        <f t="shared" si="7"/>
        <v>-770464.3170076342</v>
      </c>
      <c r="P75">
        <f t="shared" si="8"/>
        <v>361942.89979330415</v>
      </c>
      <c r="Q75">
        <f t="shared" si="9"/>
        <v>12871.877920658895</v>
      </c>
      <c r="R75">
        <f t="shared" si="15"/>
        <v>-2353.038291508041</v>
      </c>
      <c r="S75">
        <f t="shared" si="16"/>
        <v>0</v>
      </c>
      <c r="T75">
        <f t="shared" si="17"/>
        <v>373001.7902253607</v>
      </c>
      <c r="U75">
        <f t="shared" si="10"/>
        <v>131002662710.78581</v>
      </c>
    </row>
    <row r="76" spans="1:21" ht="12.75">
      <c r="A76">
        <f t="shared" si="11"/>
        <v>305</v>
      </c>
      <c r="B76" s="1">
        <f t="shared" si="18"/>
        <v>0.029972310517491958</v>
      </c>
      <c r="C76" s="1">
        <f t="shared" si="3"/>
        <v>-21.624065166484538</v>
      </c>
      <c r="D76">
        <f t="shared" si="19"/>
        <v>62.37555656755194</v>
      </c>
      <c r="E76">
        <f t="shared" si="4"/>
        <v>237.0463847462502</v>
      </c>
      <c r="F76">
        <f t="shared" si="20"/>
        <v>30.292376342632966</v>
      </c>
      <c r="G76">
        <f t="shared" si="5"/>
        <v>-17.14282195863808</v>
      </c>
      <c r="I76">
        <f t="shared" si="12"/>
        <v>4.3181550204282235</v>
      </c>
      <c r="J76" s="13">
        <f t="shared" si="13"/>
        <v>-1.2639084757256178</v>
      </c>
      <c r="K76" s="13">
        <f t="shared" si="14"/>
        <v>1.938986763366163</v>
      </c>
      <c r="M76" s="11">
        <v>11800</v>
      </c>
      <c r="N76" s="13">
        <f t="shared" si="6"/>
        <v>-341876.4702821206</v>
      </c>
      <c r="O76">
        <f t="shared" si="7"/>
        <v>-678420.89060557</v>
      </c>
      <c r="P76">
        <f t="shared" si="8"/>
        <v>336544.4203234495</v>
      </c>
      <c r="Q76">
        <f t="shared" si="9"/>
        <v>12565.092973780524</v>
      </c>
      <c r="R76">
        <f t="shared" si="15"/>
        <v>-2027.5198464765117</v>
      </c>
      <c r="S76">
        <f t="shared" si="16"/>
        <v>0</v>
      </c>
      <c r="T76">
        <f t="shared" si="17"/>
        <v>349243.66005837684</v>
      </c>
      <c r="U76">
        <f t="shared" si="10"/>
        <v>113262146850.84663</v>
      </c>
    </row>
    <row r="77" spans="1:21" ht="12.75">
      <c r="A77">
        <f t="shared" si="11"/>
        <v>310</v>
      </c>
      <c r="B77" s="1">
        <f t="shared" si="18"/>
        <v>0.018364218390018294</v>
      </c>
      <c r="C77" s="1">
        <f t="shared" si="3"/>
        <v>-16.733390017245107</v>
      </c>
      <c r="D77">
        <f t="shared" si="19"/>
        <v>63.907615643999456</v>
      </c>
      <c r="E77">
        <f t="shared" si="4"/>
        <v>241.7351180500218</v>
      </c>
      <c r="F77">
        <f t="shared" si="20"/>
        <v>29.985248139244916</v>
      </c>
      <c r="G77">
        <f t="shared" si="5"/>
        <v>-13.367752831697544</v>
      </c>
      <c r="I77">
        <f t="shared" si="12"/>
        <v>2.6457600521260543</v>
      </c>
      <c r="J77" s="13">
        <f t="shared" si="13"/>
        <v>-1.0034369809813017</v>
      </c>
      <c r="K77" s="13">
        <f t="shared" si="14"/>
        <v>1.8754697809503136</v>
      </c>
      <c r="M77" s="11">
        <v>12100</v>
      </c>
      <c r="N77" s="13">
        <f t="shared" si="6"/>
        <v>-269574.91317781864</v>
      </c>
      <c r="O77">
        <f t="shared" si="7"/>
        <v>-581214.2715842638</v>
      </c>
      <c r="P77">
        <f t="shared" si="8"/>
        <v>311639.3584064451</v>
      </c>
      <c r="Q77">
        <f t="shared" si="9"/>
        <v>11600.361756647124</v>
      </c>
      <c r="R77">
        <f t="shared" si="15"/>
        <v>-1665.4266559342434</v>
      </c>
      <c r="S77">
        <f t="shared" si="16"/>
        <v>0</v>
      </c>
      <c r="T77">
        <f t="shared" si="17"/>
        <v>324091.88936494733</v>
      </c>
      <c r="U77">
        <f t="shared" si="10"/>
        <v>97119089707.98076</v>
      </c>
    </row>
    <row r="78" spans="1:21" ht="12.75">
      <c r="A78">
        <f t="shared" si="11"/>
        <v>315</v>
      </c>
      <c r="B78" s="1">
        <f t="shared" si="18"/>
        <v>0.00966841500411659</v>
      </c>
      <c r="C78" s="1">
        <f t="shared" si="3"/>
        <v>-12.006595576579974</v>
      </c>
      <c r="D78">
        <f t="shared" si="19"/>
        <v>65.4419258753292</v>
      </c>
      <c r="E78">
        <f t="shared" si="4"/>
        <v>246.4015048200484</v>
      </c>
      <c r="F78">
        <f t="shared" si="20"/>
        <v>29.755173598002543</v>
      </c>
      <c r="G78">
        <f t="shared" si="5"/>
        <v>-9.671988521784925</v>
      </c>
      <c r="I78">
        <f t="shared" si="12"/>
        <v>1.3929428218503315</v>
      </c>
      <c r="J78" s="13">
        <f t="shared" si="13"/>
        <v>-0.7516903381654337</v>
      </c>
      <c r="K78" s="13">
        <f t="shared" si="14"/>
        <v>1.8126483342076178</v>
      </c>
      <c r="M78" s="11">
        <v>12400</v>
      </c>
      <c r="N78" s="13">
        <f t="shared" si="6"/>
        <v>-197028.23341167739</v>
      </c>
      <c r="O78">
        <f t="shared" si="7"/>
        <v>-479584.2610094289</v>
      </c>
      <c r="P78">
        <f t="shared" si="8"/>
        <v>282556.02759775147</v>
      </c>
      <c r="Q78">
        <f t="shared" si="9"/>
        <v>9281.383056218985</v>
      </c>
      <c r="R78">
        <f t="shared" si="15"/>
        <v>-1278.9175892398005</v>
      </c>
      <c r="S78">
        <f t="shared" si="16"/>
        <v>0</v>
      </c>
      <c r="T78">
        <f t="shared" si="17"/>
        <v>297097.6930020983</v>
      </c>
      <c r="U78">
        <f t="shared" si="10"/>
        <v>79837908731.82129</v>
      </c>
    </row>
    <row r="79" spans="1:21" ht="12.75">
      <c r="A79">
        <f t="shared" si="11"/>
        <v>320</v>
      </c>
      <c r="B79" s="1">
        <f aca="true" t="shared" si="21" ref="B79:B87">($B$11-F79)/($B$11-$B$12)</f>
        <v>0.0037881198949771826</v>
      </c>
      <c r="C79" s="1">
        <f t="shared" si="3"/>
        <v>-7.434961152577045</v>
      </c>
      <c r="D79">
        <f aca="true" t="shared" si="22" ref="D79:D87">DEGREES(ACOS(($B$5^2+$B$4^2-$B$7^2-$B$8^2+2*$B$7*$B$8*COS(RADIANS(A79-$B$10)))/(2*$B$5*$B$4)))</f>
        <v>66.96801550543476</v>
      </c>
      <c r="E79">
        <f t="shared" si="4"/>
        <v>251.0122619789514</v>
      </c>
      <c r="F79">
        <f aca="true" t="shared" si="23" ref="F79:F87">DEGREES(ASIN($B$4*SIN(RADIANS(D79))/E79))-DEGREES(ASIN($B$8*SIN(RADIANS(A79-$B$10))/E79))</f>
        <v>29.599592090513717</v>
      </c>
      <c r="G79">
        <f t="shared" si="5"/>
        <v>-6.042496644401666</v>
      </c>
      <c r="I79">
        <f t="shared" si="12"/>
        <v>0.5457600251716779</v>
      </c>
      <c r="J79" s="13">
        <f t="shared" si="13"/>
        <v>-0.5083096780071921</v>
      </c>
      <c r="K79" s="13">
        <f t="shared" si="14"/>
        <v>1.752410849573323</v>
      </c>
      <c r="M79" s="11">
        <v>12700</v>
      </c>
      <c r="N79" s="13">
        <f t="shared" si="6"/>
        <v>-124238.20085956242</v>
      </c>
      <c r="O79">
        <f t="shared" si="7"/>
        <v>-374304.324627418</v>
      </c>
      <c r="P79">
        <f t="shared" si="8"/>
        <v>250066.12376785558</v>
      </c>
      <c r="Q79">
        <f t="shared" si="9"/>
        <v>3293.915045823138</v>
      </c>
      <c r="R79">
        <f t="shared" si="15"/>
        <v>-886.0120081930919</v>
      </c>
      <c r="S79">
        <f t="shared" si="16"/>
        <v>0</v>
      </c>
      <c r="T79">
        <f t="shared" si="17"/>
        <v>266311.0756828035</v>
      </c>
      <c r="U79">
        <f t="shared" si="10"/>
        <v>62533066256.280464</v>
      </c>
    </row>
    <row r="80" spans="1:21" ht="12.75">
      <c r="A80">
        <f t="shared" si="11"/>
        <v>325</v>
      </c>
      <c r="B80" s="1">
        <f t="shared" si="21"/>
        <v>0.0006326364597316967</v>
      </c>
      <c r="C80" s="1">
        <f aca="true" t="shared" si="24" ref="C80:C87">$E$10*$B$8*$B$3/$B$5*SIN(RADIANS(G80))/SIN(RADIANS(D80))</f>
        <v>-3.007361008489355</v>
      </c>
      <c r="D80">
        <f t="shared" si="22"/>
        <v>68.47581104952144</v>
      </c>
      <c r="E80">
        <f aca="true" t="shared" si="25" ref="E80:E87">SQRT($B$8^2+$B$7^2-2*$B$8*$B$7*COS(RADIANS($B$10-A80)))</f>
        <v>255.53624984892605</v>
      </c>
      <c r="F80">
        <f t="shared" si="23"/>
        <v>29.516103955887875</v>
      </c>
      <c r="G80">
        <f aca="true" t="shared" si="26" ref="G80:G87">-D80-F80+(A80-$B$10)</f>
        <v>-2.4668040538624894</v>
      </c>
      <c r="I80">
        <f t="shared" si="12"/>
        <v>0.09114486863140103</v>
      </c>
      <c r="J80" s="13">
        <f t="shared" si="13"/>
        <v>-0.27276909392416615</v>
      </c>
      <c r="K80" s="13">
        <f t="shared" si="14"/>
        <v>1.6959600437995386</v>
      </c>
      <c r="M80" s="11">
        <v>13000</v>
      </c>
      <c r="N80" s="13">
        <f aca="true" t="shared" si="27" ref="N80:N87">C80*(M80-$L$7)</f>
        <v>-51155.210754403925</v>
      </c>
      <c r="O80">
        <f aca="true" t="shared" si="28" ref="O80:O87">$E$10*$L$8*SIN(RADIANS((A80+$B$9)))</f>
        <v>-266175.7063238619</v>
      </c>
      <c r="P80">
        <f aca="true" t="shared" si="29" ref="P80:P87">N80-O80</f>
        <v>215020.49556945797</v>
      </c>
      <c r="Q80">
        <f aca="true" t="shared" si="30" ref="Q80:Q87">IF(($E$3+O80)/C80+$L$7&lt;$E$4,($E$3+O80)/C80+$L$7,$E$4)</f>
        <v>-21907.516634750442</v>
      </c>
      <c r="R80">
        <f t="shared" si="15"/>
        <v>-486.8170634618798</v>
      </c>
      <c r="S80">
        <f t="shared" si="16"/>
        <v>0</v>
      </c>
      <c r="T80">
        <f t="shared" si="17"/>
        <v>232543.3096686568</v>
      </c>
      <c r="U80">
        <f aca="true" t="shared" si="31" ref="U80:U87">P80^2</f>
        <v>46233813514.935295</v>
      </c>
    </row>
    <row r="81" spans="1:21" ht="12.75">
      <c r="A81">
        <f aca="true" t="shared" si="32" ref="A81:A87">A80+$E$10*5</f>
        <v>330</v>
      </c>
      <c r="B81" s="1">
        <f t="shared" si="21"/>
        <v>0.00011840022375181535</v>
      </c>
      <c r="C81" s="1">
        <f t="shared" si="24"/>
        <v>1.288437524297145</v>
      </c>
      <c r="D81">
        <f t="shared" si="22"/>
        <v>69.95562117240155</v>
      </c>
      <c r="E81">
        <f t="shared" si="25"/>
        <v>259.9444535665404</v>
      </c>
      <c r="F81">
        <f t="shared" si="23"/>
        <v>29.502498235883316</v>
      </c>
      <c r="G81">
        <f t="shared" si="26"/>
        <v>1.0669915432619632</v>
      </c>
      <c r="I81">
        <f aca="true" t="shared" si="33" ref="I81:I87">-$B$3*B81*($B$11-$B$12)*2*3.1415/360</f>
        <v>0.017058095014575104</v>
      </c>
      <c r="J81" s="13">
        <f aca="true" t="shared" si="34" ref="J81:J87">(I81-I80)/10*$E$9</f>
        <v>-0.04445206417009556</v>
      </c>
      <c r="K81" s="13">
        <f aca="true" t="shared" si="35" ref="K81:K87">(J81-J80)/0.8333*$E$9</f>
        <v>1.6439483721641945</v>
      </c>
      <c r="M81" s="11">
        <v>13000</v>
      </c>
      <c r="N81" s="13">
        <f t="shared" si="27"/>
        <v>21916.32228829444</v>
      </c>
      <c r="O81">
        <f t="shared" si="28"/>
        <v>-156021.33017389433</v>
      </c>
      <c r="P81">
        <f t="shared" si="29"/>
        <v>177937.65246218877</v>
      </c>
      <c r="Q81">
        <f t="shared" si="30"/>
        <v>25600</v>
      </c>
      <c r="R81">
        <f aca="true" t="shared" si="36" ref="R81:R87">(M81+M80)/2*(I81-I80)/12</f>
        <v>-80.26067141822809</v>
      </c>
      <c r="S81">
        <f aca="true" t="shared" si="37" ref="S81:S87">IF(P81&lt;0,(P80+P81)/2,0)</f>
        <v>0</v>
      </c>
      <c r="T81">
        <f aca="true" t="shared" si="38" ref="T81:T87">IF(P81&gt;=0,(P80+P81)/2,0)</f>
        <v>196479.07401582337</v>
      </c>
      <c r="U81">
        <f t="shared" si="31"/>
        <v>31661808163.754673</v>
      </c>
    </row>
    <row r="82" spans="1:21" ht="12.75">
      <c r="A82">
        <f t="shared" si="32"/>
        <v>335</v>
      </c>
      <c r="B82" s="1">
        <f t="shared" si="21"/>
        <v>0.0021693270136518305</v>
      </c>
      <c r="C82" s="1">
        <f t="shared" si="24"/>
        <v>5.464750957365338</v>
      </c>
      <c r="D82">
        <f t="shared" si="22"/>
        <v>71.39812256979864</v>
      </c>
      <c r="E82">
        <f t="shared" si="25"/>
        <v>264.20994230666463</v>
      </c>
      <c r="F82">
        <f t="shared" si="23"/>
        <v>29.55676188690755</v>
      </c>
      <c r="G82">
        <f t="shared" si="26"/>
        <v>4.570226494840625</v>
      </c>
      <c r="I82">
        <f t="shared" si="33"/>
        <v>0.3125381451484801</v>
      </c>
      <c r="J82" s="13">
        <f t="shared" si="34"/>
        <v>0.177288030080343</v>
      </c>
      <c r="K82" s="13">
        <f t="shared" si="35"/>
        <v>1.5965925423048497</v>
      </c>
      <c r="M82" s="11">
        <v>12200</v>
      </c>
      <c r="N82" s="13">
        <f t="shared" si="27"/>
        <v>88583.61301889212</v>
      </c>
      <c r="O82">
        <f t="shared" si="28"/>
        <v>-44679.53749304964</v>
      </c>
      <c r="P82">
        <f t="shared" si="29"/>
        <v>133263.15051194176</v>
      </c>
      <c r="Q82">
        <f t="shared" si="30"/>
        <v>25600</v>
      </c>
      <c r="R82">
        <f t="shared" si="36"/>
        <v>310.25405264060026</v>
      </c>
      <c r="S82">
        <f t="shared" si="37"/>
        <v>0</v>
      </c>
      <c r="T82">
        <f t="shared" si="38"/>
        <v>155600.40148706525</v>
      </c>
      <c r="U82">
        <f t="shared" si="31"/>
        <v>17759067284.368443</v>
      </c>
    </row>
    <row r="83" spans="1:21" ht="12.75">
      <c r="A83">
        <f t="shared" si="32"/>
        <v>340</v>
      </c>
      <c r="B83" s="1">
        <f t="shared" si="21"/>
        <v>0.006716610811301091</v>
      </c>
      <c r="C83" s="1">
        <f t="shared" si="24"/>
        <v>9.533177014077815</v>
      </c>
      <c r="D83">
        <f t="shared" si="22"/>
        <v>72.79435050205112</v>
      </c>
      <c r="E83">
        <f t="shared" si="25"/>
        <v>268.3078146693451</v>
      </c>
      <c r="F83">
        <f t="shared" si="23"/>
        <v>29.6770744316161</v>
      </c>
      <c r="G83">
        <f t="shared" si="26"/>
        <v>8.053686017879613</v>
      </c>
      <c r="I83">
        <f t="shared" si="33"/>
        <v>0.9676720344317735</v>
      </c>
      <c r="J83" s="13">
        <f t="shared" si="34"/>
        <v>0.393080333569976</v>
      </c>
      <c r="K83" s="13">
        <f t="shared" si="35"/>
        <v>1.5537667357947895</v>
      </c>
      <c r="M83" s="11">
        <v>12200</v>
      </c>
      <c r="N83" s="13">
        <f t="shared" si="27"/>
        <v>154532.79939820137</v>
      </c>
      <c r="O83">
        <f t="shared" si="28"/>
        <v>67002.29344635952</v>
      </c>
      <c r="P83">
        <f t="shared" si="29"/>
        <v>87530.50595184186</v>
      </c>
      <c r="Q83">
        <f t="shared" si="30"/>
        <v>25600</v>
      </c>
      <c r="R83">
        <f t="shared" si="36"/>
        <v>666.052787438015</v>
      </c>
      <c r="S83">
        <f t="shared" si="37"/>
        <v>0</v>
      </c>
      <c r="T83">
        <f t="shared" si="38"/>
        <v>110396.8282318918</v>
      </c>
      <c r="U83">
        <f t="shared" si="31"/>
        <v>7661589472.185423</v>
      </c>
    </row>
    <row r="84" spans="1:21" ht="12.75">
      <c r="A84">
        <f t="shared" si="32"/>
        <v>345</v>
      </c>
      <c r="B84" s="1">
        <f t="shared" si="21"/>
        <v>0.013698090045986435</v>
      </c>
      <c r="C84" s="1">
        <f t="shared" si="24"/>
        <v>13.50396508470855</v>
      </c>
      <c r="D84">
        <f t="shared" si="22"/>
        <v>74.13569588604167</v>
      </c>
      <c r="E84">
        <f t="shared" si="25"/>
        <v>272.2151365277853</v>
      </c>
      <c r="F84">
        <f t="shared" si="23"/>
        <v>29.861791192199437</v>
      </c>
      <c r="G84">
        <f t="shared" si="26"/>
        <v>11.527623873305714</v>
      </c>
      <c r="I84">
        <f t="shared" si="33"/>
        <v>1.9735040536108739</v>
      </c>
      <c r="J84" s="13">
        <f t="shared" si="34"/>
        <v>0.6034992115074602</v>
      </c>
      <c r="K84" s="13">
        <f t="shared" si="35"/>
        <v>1.5150765242108548</v>
      </c>
      <c r="M84" s="11">
        <v>12800</v>
      </c>
      <c r="N84" s="13">
        <f t="shared" si="27"/>
        <v>227001.65307395073</v>
      </c>
      <c r="O84">
        <f t="shared" si="28"/>
        <v>178174.19647555094</v>
      </c>
      <c r="P84">
        <f t="shared" si="29"/>
        <v>48827.45659839979</v>
      </c>
      <c r="Q84">
        <f t="shared" si="30"/>
        <v>25600</v>
      </c>
      <c r="R84">
        <f t="shared" si="36"/>
        <v>1047.7416866448962</v>
      </c>
      <c r="S84">
        <f t="shared" si="37"/>
        <v>0</v>
      </c>
      <c r="T84">
        <f t="shared" si="38"/>
        <v>68178.98127512082</v>
      </c>
      <c r="U84">
        <f t="shared" si="31"/>
        <v>2384120517.868615</v>
      </c>
    </row>
    <row r="85" spans="1:21" ht="12.75">
      <c r="A85">
        <f t="shared" si="32"/>
        <v>350</v>
      </c>
      <c r="B85" s="1">
        <f t="shared" si="21"/>
        <v>0.023057275073597415</v>
      </c>
      <c r="C85" s="1">
        <f t="shared" si="24"/>
        <v>17.385521408355682</v>
      </c>
      <c r="D85">
        <f t="shared" si="22"/>
        <v>75.41391021020073</v>
      </c>
      <c r="E85">
        <f t="shared" si="25"/>
        <v>275.9108759487086</v>
      </c>
      <c r="F85">
        <f t="shared" si="23"/>
        <v>30.109417559318224</v>
      </c>
      <c r="G85">
        <f t="shared" si="26"/>
        <v>15.001783182027879</v>
      </c>
      <c r="I85">
        <f t="shared" si="33"/>
        <v>3.321895656270569</v>
      </c>
      <c r="J85" s="13">
        <f t="shared" si="34"/>
        <v>0.809034961595817</v>
      </c>
      <c r="K85" s="13">
        <f t="shared" si="35"/>
        <v>1.4799165973000608</v>
      </c>
      <c r="M85" s="11">
        <v>13400</v>
      </c>
      <c r="N85" s="13">
        <f t="shared" si="27"/>
        <v>302681.92771947244</v>
      </c>
      <c r="O85">
        <f t="shared" si="28"/>
        <v>287990.08628504217</v>
      </c>
      <c r="P85">
        <f t="shared" si="29"/>
        <v>14691.841434430273</v>
      </c>
      <c r="Q85">
        <f t="shared" si="30"/>
        <v>25600</v>
      </c>
      <c r="R85">
        <f t="shared" si="36"/>
        <v>1471.9941662368337</v>
      </c>
      <c r="S85">
        <f t="shared" si="37"/>
        <v>0</v>
      </c>
      <c r="T85">
        <f t="shared" si="38"/>
        <v>31759.64901641503</v>
      </c>
      <c r="U85">
        <f t="shared" si="31"/>
        <v>215850204.73444217</v>
      </c>
    </row>
    <row r="86" spans="1:21" ht="12.75">
      <c r="A86">
        <f t="shared" si="32"/>
        <v>355</v>
      </c>
      <c r="B86" s="1">
        <f t="shared" si="21"/>
        <v>0.034742109178170076</v>
      </c>
      <c r="C86" s="1">
        <f t="shared" si="24"/>
        <v>21.184019887751138</v>
      </c>
      <c r="D86">
        <f t="shared" si="22"/>
        <v>76.62111896940027</v>
      </c>
      <c r="E86">
        <f t="shared" si="25"/>
        <v>279.3758384561175</v>
      </c>
      <c r="F86">
        <f t="shared" si="23"/>
        <v>30.418576210543183</v>
      </c>
      <c r="G86">
        <f t="shared" si="26"/>
        <v>18.48541577160337</v>
      </c>
      <c r="I86">
        <f t="shared" si="33"/>
        <v>5.005346954497461</v>
      </c>
      <c r="J86" s="13">
        <f t="shared" si="34"/>
        <v>1.010070778936135</v>
      </c>
      <c r="K86" s="13">
        <f t="shared" si="35"/>
        <v>1.4475157854817085</v>
      </c>
      <c r="M86" s="11">
        <v>14000</v>
      </c>
      <c r="N86" s="13">
        <f t="shared" si="27"/>
        <v>381524.198178398</v>
      </c>
      <c r="O86">
        <f t="shared" si="28"/>
        <v>395614.1976447357</v>
      </c>
      <c r="P86">
        <f t="shared" si="29"/>
        <v>-14089.999466337671</v>
      </c>
      <c r="Q86">
        <f t="shared" si="30"/>
        <v>25600</v>
      </c>
      <c r="R86">
        <f t="shared" si="36"/>
        <v>1921.9402321423684</v>
      </c>
      <c r="S86">
        <f t="shared" si="37"/>
        <v>300.9209840463009</v>
      </c>
      <c r="T86">
        <f t="shared" si="38"/>
        <v>0</v>
      </c>
      <c r="U86">
        <f t="shared" si="31"/>
        <v>198528084.96139586</v>
      </c>
    </row>
    <row r="87" spans="1:21" ht="12.75">
      <c r="A87">
        <f t="shared" si="32"/>
        <v>360</v>
      </c>
      <c r="B87" s="1">
        <f t="shared" si="21"/>
        <v>0.04870352046750652</v>
      </c>
      <c r="C87" s="1">
        <f t="shared" si="24"/>
        <v>24.903098063488976</v>
      </c>
      <c r="D87">
        <f t="shared" si="22"/>
        <v>77.74984379442859</v>
      </c>
      <c r="E87">
        <f t="shared" si="25"/>
        <v>282.59260487370466</v>
      </c>
      <c r="F87">
        <f t="shared" si="23"/>
        <v>30.787968796246993</v>
      </c>
      <c r="G87">
        <f t="shared" si="26"/>
        <v>21.98729836087125</v>
      </c>
      <c r="I87">
        <f t="shared" si="33"/>
        <v>7.01678808834423</v>
      </c>
      <c r="J87" s="13">
        <f t="shared" si="34"/>
        <v>1.2068646803080614</v>
      </c>
      <c r="K87" s="13">
        <f t="shared" si="35"/>
        <v>1.4169727687886218</v>
      </c>
      <c r="M87" s="11">
        <v>14250</v>
      </c>
      <c r="N87" s="13">
        <f t="shared" si="27"/>
        <v>454730.5706393087</v>
      </c>
      <c r="O87">
        <f t="shared" si="28"/>
        <v>500227.4460819691</v>
      </c>
      <c r="P87">
        <f t="shared" si="29"/>
        <v>-45496.875442660355</v>
      </c>
      <c r="Q87">
        <f t="shared" si="30"/>
        <v>25600</v>
      </c>
      <c r="R87">
        <f t="shared" si="36"/>
        <v>2367.633834632134</v>
      </c>
      <c r="S87">
        <f t="shared" si="37"/>
        <v>-29793.437454499013</v>
      </c>
      <c r="T87">
        <f t="shared" si="38"/>
        <v>0</v>
      </c>
      <c r="U87">
        <f t="shared" si="31"/>
        <v>2069965675.044951</v>
      </c>
    </row>
    <row r="88" spans="19:21" ht="12.75">
      <c r="S88">
        <f>SUM(S15:S87)</f>
        <v>-1748203.8637547293</v>
      </c>
      <c r="T88">
        <f>SUM(T15:T87)</f>
        <v>10539017.228590544</v>
      </c>
      <c r="U88">
        <f>SUM(U15:U87)</f>
        <v>3316155239247.653</v>
      </c>
    </row>
    <row r="89" spans="17:19" ht="12.75">
      <c r="Q89" s="10" t="s">
        <v>80</v>
      </c>
      <c r="R89">
        <f>SUM(R16:R87)</f>
        <v>64148.26620855837</v>
      </c>
      <c r="S89" s="10" t="s">
        <v>68</v>
      </c>
    </row>
    <row r="90" spans="17:19" ht="12.75">
      <c r="Q90" s="10" t="s">
        <v>70</v>
      </c>
      <c r="R90" s="5">
        <f>E9*R89/33000</f>
        <v>11.663321128828795</v>
      </c>
      <c r="S90" s="10" t="s">
        <v>69</v>
      </c>
    </row>
    <row r="91" spans="17:19" ht="12.75">
      <c r="Q91" s="10" t="s">
        <v>104</v>
      </c>
      <c r="R91" s="5">
        <f>SQRT((U88)/73)/(SUM(P15:P87)/73)</f>
        <v>1.7699043505353353</v>
      </c>
      <c r="S91" s="10"/>
    </row>
    <row r="92" spans="14:19" ht="12.75">
      <c r="N92" s="18"/>
      <c r="Q92" s="10" t="s">
        <v>91</v>
      </c>
      <c r="R92" s="5">
        <f>R90*R91/0.9/0.9</f>
        <v>25.485139268647877</v>
      </c>
      <c r="S92" s="10" t="s">
        <v>107</v>
      </c>
    </row>
    <row r="93" spans="14:17" ht="12.75">
      <c r="N93" s="18"/>
      <c r="Q93" s="10"/>
    </row>
    <row r="94" spans="14:19" ht="12.75">
      <c r="N94" s="15" t="s">
        <v>112</v>
      </c>
      <c r="O94" s="10"/>
      <c r="Q94" s="10"/>
      <c r="R94" s="20">
        <f>-100*S88/(T88-S88)</f>
        <v>14.227821332553624</v>
      </c>
      <c r="S94" s="10" t="s">
        <v>101</v>
      </c>
    </row>
    <row r="95" ht="12.75">
      <c r="Q95" s="10"/>
    </row>
  </sheetData>
  <sheetProtection/>
  <mergeCells count="3">
    <mergeCell ref="D1:F1"/>
    <mergeCell ref="E2:F2"/>
    <mergeCell ref="I12:K12"/>
  </mergeCells>
  <printOptions gridLines="1"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4"/>
  <sheetViews>
    <sheetView zoomScalePageLayoutView="0" workbookViewId="0" topLeftCell="A1">
      <selection activeCell="L4" sqref="L4"/>
    </sheetView>
  </sheetViews>
  <sheetFormatPr defaultColWidth="9.140625" defaultRowHeight="12.75"/>
  <cols>
    <col min="2" max="2" width="12.421875" style="0" bestFit="1" customWidth="1"/>
    <col min="4" max="4" width="9.28125" style="0" customWidth="1"/>
    <col min="11" max="11" width="10.421875" style="0" customWidth="1"/>
    <col min="13" max="13" width="10.57421875" style="0" bestFit="1" customWidth="1"/>
    <col min="17" max="17" width="13.421875" style="0" customWidth="1"/>
    <col min="18" max="18" width="10.28125" style="0" customWidth="1"/>
    <col min="19" max="19" width="10.57421875" style="0" customWidth="1"/>
  </cols>
  <sheetData>
    <row r="1" spans="1:13" ht="12.75">
      <c r="A1" t="s">
        <v>22</v>
      </c>
      <c r="E1" s="44" t="s">
        <v>87</v>
      </c>
      <c r="F1" s="42"/>
      <c r="G1" s="43"/>
      <c r="K1" t="s">
        <v>46</v>
      </c>
      <c r="L1" s="11">
        <v>254</v>
      </c>
      <c r="M1" t="s">
        <v>47</v>
      </c>
    </row>
    <row r="2" spans="1:13" ht="12.75">
      <c r="A2" t="s">
        <v>0</v>
      </c>
      <c r="E2" s="10" t="s">
        <v>86</v>
      </c>
      <c r="F2" s="48" t="s">
        <v>134</v>
      </c>
      <c r="G2" s="50"/>
      <c r="K2" t="s">
        <v>48</v>
      </c>
      <c r="L2" s="11">
        <v>65.6</v>
      </c>
      <c r="M2" t="s">
        <v>49</v>
      </c>
    </row>
    <row r="3" spans="1:13" ht="12.75">
      <c r="A3" t="s">
        <v>1</v>
      </c>
      <c r="B3" s="11">
        <v>208</v>
      </c>
      <c r="C3" t="s">
        <v>7</v>
      </c>
      <c r="E3" s="10" t="s">
        <v>34</v>
      </c>
      <c r="F3" s="11">
        <v>456000</v>
      </c>
      <c r="G3" s="10" t="s">
        <v>71</v>
      </c>
      <c r="K3" t="s">
        <v>50</v>
      </c>
      <c r="L3" s="11">
        <v>95.16</v>
      </c>
      <c r="M3" t="s">
        <v>51</v>
      </c>
    </row>
    <row r="4" spans="1:7" ht="12.75">
      <c r="A4" t="s">
        <v>2</v>
      </c>
      <c r="B4" s="11">
        <v>186</v>
      </c>
      <c r="C4" t="s">
        <v>7</v>
      </c>
      <c r="E4" s="10" t="s">
        <v>92</v>
      </c>
      <c r="F4" s="11">
        <v>30500</v>
      </c>
      <c r="G4" s="10" t="s">
        <v>93</v>
      </c>
    </row>
    <row r="5" spans="1:13" ht="12.75">
      <c r="A5" t="s">
        <v>3</v>
      </c>
      <c r="B5" s="11">
        <v>77</v>
      </c>
      <c r="C5" t="s">
        <v>7</v>
      </c>
      <c r="K5" t="s">
        <v>31</v>
      </c>
      <c r="L5">
        <f>L2*(L1-L3)</f>
        <v>10419.903999999999</v>
      </c>
      <c r="M5" t="s">
        <v>37</v>
      </c>
    </row>
    <row r="6" spans="1:15" ht="12.75">
      <c r="A6" t="s">
        <v>4</v>
      </c>
      <c r="B6" s="11">
        <v>74.5</v>
      </c>
      <c r="C6" t="s">
        <v>7</v>
      </c>
      <c r="D6" t="s">
        <v>25</v>
      </c>
      <c r="K6" t="s">
        <v>38</v>
      </c>
      <c r="L6" s="1">
        <f>C33</f>
        <v>70.45944836364136</v>
      </c>
      <c r="M6" t="s">
        <v>39</v>
      </c>
      <c r="N6">
        <f>A33</f>
        <v>90</v>
      </c>
      <c r="O6" t="s">
        <v>28</v>
      </c>
    </row>
    <row r="7" spans="1:13" ht="12.75">
      <c r="A7" t="s">
        <v>5</v>
      </c>
      <c r="B7" s="11">
        <v>200.365</v>
      </c>
      <c r="C7" t="s">
        <v>7</v>
      </c>
      <c r="K7" t="s">
        <v>40</v>
      </c>
      <c r="L7">
        <f>L3*L2</f>
        <v>6242.495999999999</v>
      </c>
      <c r="M7" t="s">
        <v>37</v>
      </c>
    </row>
    <row r="8" spans="1:13" ht="12.75">
      <c r="A8" t="s">
        <v>6</v>
      </c>
      <c r="B8" s="11">
        <v>26.19</v>
      </c>
      <c r="C8" t="s">
        <v>7</v>
      </c>
      <c r="D8" t="s">
        <v>66</v>
      </c>
      <c r="E8" s="11">
        <v>6</v>
      </c>
      <c r="F8" t="s">
        <v>67</v>
      </c>
      <c r="K8" t="s">
        <v>41</v>
      </c>
      <c r="L8">
        <f>L6*(L5-L7)</f>
        <v>294337.86326986225</v>
      </c>
      <c r="M8" t="s">
        <v>33</v>
      </c>
    </row>
    <row r="9" spans="1:4" ht="12.75">
      <c r="A9" t="s">
        <v>63</v>
      </c>
      <c r="C9" s="11">
        <v>1</v>
      </c>
      <c r="D9" s="10" t="s">
        <v>95</v>
      </c>
    </row>
    <row r="10" spans="1:2" ht="12.75">
      <c r="A10" t="s">
        <v>8</v>
      </c>
      <c r="B10">
        <f>-DEGREES(ASIN($B$6/B7))+180</f>
        <v>158.17200673140763</v>
      </c>
    </row>
    <row r="11" spans="1:2" ht="12.75">
      <c r="A11" t="s">
        <v>9</v>
      </c>
      <c r="B11">
        <f>DEGREES(ACOS((B5^2+B7^2-(B4-B8)^2)/(2*B5*B7)))</f>
        <v>48.2765943757841</v>
      </c>
    </row>
    <row r="12" spans="1:21" ht="12.75">
      <c r="A12" t="s">
        <v>10</v>
      </c>
      <c r="B12">
        <f>DEGREES(ACOS((B5^2+B7^2-(B4+B8)^2)/(2*B5*B7)))</f>
        <v>88.04891858181416</v>
      </c>
      <c r="I12" s="51" t="s">
        <v>82</v>
      </c>
      <c r="J12" s="52"/>
      <c r="K12" s="53"/>
      <c r="M12" s="10" t="s">
        <v>84</v>
      </c>
      <c r="N12" t="s">
        <v>29</v>
      </c>
      <c r="O12" t="s">
        <v>31</v>
      </c>
      <c r="P12" t="s">
        <v>34</v>
      </c>
      <c r="Q12" s="10" t="s">
        <v>83</v>
      </c>
      <c r="R12" s="10" t="s">
        <v>80</v>
      </c>
      <c r="S12" s="10" t="s">
        <v>102</v>
      </c>
      <c r="T12" s="10" t="s">
        <v>109</v>
      </c>
      <c r="U12" s="10" t="s">
        <v>105</v>
      </c>
    </row>
    <row r="13" spans="1:21" ht="12.75">
      <c r="A13" t="s">
        <v>11</v>
      </c>
      <c r="B13" s="10" t="s">
        <v>73</v>
      </c>
      <c r="C13" s="10" t="s">
        <v>32</v>
      </c>
      <c r="I13" t="s">
        <v>18</v>
      </c>
      <c r="J13" t="s">
        <v>19</v>
      </c>
      <c r="K13" t="s">
        <v>21</v>
      </c>
      <c r="M13" s="10" t="s">
        <v>85</v>
      </c>
      <c r="N13" t="s">
        <v>32</v>
      </c>
      <c r="O13" t="s">
        <v>32</v>
      </c>
      <c r="P13" t="s">
        <v>32</v>
      </c>
      <c r="Q13" s="10" t="s">
        <v>90</v>
      </c>
      <c r="R13" s="10" t="s">
        <v>79</v>
      </c>
      <c r="S13" s="10" t="s">
        <v>78</v>
      </c>
      <c r="T13" s="10" t="s">
        <v>78</v>
      </c>
      <c r="U13" s="10" t="s">
        <v>111</v>
      </c>
    </row>
    <row r="14" spans="1:20" ht="12.75">
      <c r="A14" t="s">
        <v>12</v>
      </c>
      <c r="B14" s="10" t="s">
        <v>18</v>
      </c>
      <c r="C14" s="10" t="s">
        <v>74</v>
      </c>
      <c r="D14" t="s">
        <v>14</v>
      </c>
      <c r="E14" t="s">
        <v>15</v>
      </c>
      <c r="F14" t="s">
        <v>16</v>
      </c>
      <c r="G14" t="s">
        <v>17</v>
      </c>
      <c r="I14" s="10" t="s">
        <v>88</v>
      </c>
      <c r="J14" t="s">
        <v>20</v>
      </c>
      <c r="K14" t="s">
        <v>26</v>
      </c>
      <c r="N14" s="10" t="s">
        <v>89</v>
      </c>
      <c r="O14" s="10" t="s">
        <v>89</v>
      </c>
      <c r="P14" s="10" t="s">
        <v>89</v>
      </c>
      <c r="S14" s="10" t="s">
        <v>89</v>
      </c>
      <c r="T14" s="10" t="s">
        <v>89</v>
      </c>
    </row>
    <row r="15" spans="1:21" ht="12.75">
      <c r="A15">
        <f>IF(C9&gt;0,0,360)</f>
        <v>0</v>
      </c>
      <c r="B15" s="1">
        <f aca="true" t="shared" si="0" ref="B15:B46">($B$11-F15)/($B$11-$B$12)</f>
        <v>3.865907742416606E-05</v>
      </c>
      <c r="C15" s="1">
        <f>$C$9*$B$8*$B$3/$B$5*SIN(RADIANS(G15))/SIN(RADIANS(D15))</f>
        <v>0.8509529102516592</v>
      </c>
      <c r="D15">
        <f aca="true" t="shared" si="1" ref="D15:D78">DEGREES(ACOS(($B$5^2+$B$4^2-$B$7^2-$B$8^2+2*$B$7*$B$8*COS(RADIANS(A15-$B$10)))/(2*$B$5*$B$4)))</f>
        <v>110.5392399880994</v>
      </c>
      <c r="E15">
        <f aca="true" t="shared" si="2" ref="E15:E78">SQRT($B$8^2+$B$7^2-2*$B$8*$B$7*COS(RADIANS($B$10-A15)))</f>
        <v>224.88822308496447</v>
      </c>
      <c r="F15">
        <f aca="true" t="shared" si="3" ref="F15:F46">DEGREES(ASIN($B$4*SIN(RADIANS(D15))/E15))+DEGREES(ASIN($B$8*SIN(RADIANS(A15-$B$10))/E15))</f>
        <v>48.27813193714492</v>
      </c>
      <c r="G15">
        <f aca="true" t="shared" si="4" ref="G15:G46">D15+F15+(A15-$B$10)</f>
        <v>0.6453651938366818</v>
      </c>
      <c r="I15">
        <f>-$B$3*B15*($B$11-$B$12)*2*3.1415/360</f>
        <v>0.005581621084018343</v>
      </c>
      <c r="J15">
        <f>(I15-I86)/10*$E$8</f>
        <v>-0.10417643839336056</v>
      </c>
      <c r="K15">
        <f>(J15-J86)/0.8333*$E$8</f>
        <v>2.155450277235847</v>
      </c>
      <c r="L15" s="1"/>
      <c r="M15" s="12">
        <v>11265</v>
      </c>
      <c r="N15">
        <f>C15*(M15-$L$7)</f>
        <v>4273.9143955506</v>
      </c>
      <c r="O15">
        <f>$C$9*$L$8*SIN(RADIANS(A15))</f>
        <v>0</v>
      </c>
      <c r="P15">
        <f>N15-O15</f>
        <v>4273.9143955506</v>
      </c>
      <c r="Q15">
        <f>IF(($F$3+O15)/C15+$L$7&lt;$F$4,($F$3+O15)/C15+$L$7,$F$4)</f>
        <v>30500</v>
      </c>
      <c r="S15">
        <f>IF(P15&lt;0,(P87+P15)/2,0)</f>
        <v>0</v>
      </c>
      <c r="T15">
        <f>IF(P15&gt;=0,(P87+P15)/2,0)</f>
        <v>4273.488919095591</v>
      </c>
      <c r="U15">
        <f>P15^2</f>
        <v>18266344.26049465</v>
      </c>
    </row>
    <row r="16" spans="1:21" ht="12.75">
      <c r="A16">
        <f>A15+5*$C$9</f>
        <v>5</v>
      </c>
      <c r="B16" s="1">
        <f t="shared" si="0"/>
        <v>0.002252911658502117</v>
      </c>
      <c r="C16" s="1">
        <f aca="true" t="shared" si="5" ref="C16:C79">$C$9*$B$8*$B$3/$B$5*SIN(RADIANS(G16))/SIN(RADIANS(D16))</f>
        <v>6.459096825645904</v>
      </c>
      <c r="D16">
        <f t="shared" si="1"/>
        <v>109.73564199610226</v>
      </c>
      <c r="E16">
        <f t="shared" si="2"/>
        <v>224.04805372867003</v>
      </c>
      <c r="F16">
        <f t="shared" si="3"/>
        <v>48.36619790867359</v>
      </c>
      <c r="G16">
        <f t="shared" si="4"/>
        <v>4.929833173368223</v>
      </c>
      <c r="I16">
        <f>-$B$3*B16*($B$11-$B$12)*2*3.1415/360</f>
        <v>0.32527675390581073</v>
      </c>
      <c r="J16">
        <f>(I16-I15)/10*$E$8</f>
        <v>0.19181707969307546</v>
      </c>
      <c r="K16">
        <f>(J16-J15)/0.8333*$E$8</f>
        <v>2.13123857976553</v>
      </c>
      <c r="L16" s="1"/>
      <c r="M16" s="12">
        <v>11572</v>
      </c>
      <c r="N16">
        <f aca="true" t="shared" si="6" ref="N16:N79">C16*(M16-$L$7)</f>
        <v>34423.782368667155</v>
      </c>
      <c r="O16">
        <f aca="true" t="shared" si="7" ref="O16:O79">$C$9*$L$8*SIN(RADIANS(A16))</f>
        <v>25653.2350920435</v>
      </c>
      <c r="P16">
        <f aca="true" t="shared" si="8" ref="P16:P79">N16-O16</f>
        <v>8770.547276623656</v>
      </c>
      <c r="Q16">
        <f aca="true" t="shared" si="9" ref="Q16:Q79">IF(($F$3+O16)/C16+$L$7&lt;$F$4,($F$3+O16)/C16+$L$7,$F$4)</f>
        <v>30500</v>
      </c>
      <c r="R16">
        <f>(M16+M15)/2*(I16-I15)/12</f>
        <v>304.2032395104697</v>
      </c>
      <c r="S16">
        <f>IF(P16&lt;0,(P15+P16)/2,0)</f>
        <v>0</v>
      </c>
      <c r="T16">
        <f>IF(P16&gt;=0,(P15+P16)/2,0)</f>
        <v>6522.230836087128</v>
      </c>
      <c r="U16">
        <f aca="true" t="shared" si="10" ref="U16:U79">P16^2</f>
        <v>76922499.53149064</v>
      </c>
    </row>
    <row r="17" spans="1:21" ht="12.75">
      <c r="A17">
        <f aca="true" t="shared" si="11" ref="A17:A80">A16+5*$C$9</f>
        <v>10</v>
      </c>
      <c r="B17" s="1">
        <f t="shared" si="0"/>
        <v>0.007822570154686305</v>
      </c>
      <c r="C17" s="1">
        <f t="shared" si="5"/>
        <v>11.948980920865065</v>
      </c>
      <c r="D17">
        <f t="shared" si="1"/>
        <v>108.7854047280127</v>
      </c>
      <c r="E17">
        <f t="shared" si="2"/>
        <v>223.04499750283495</v>
      </c>
      <c r="F17">
        <f t="shared" si="3"/>
        <v>48.5877161721007</v>
      </c>
      <c r="G17">
        <f t="shared" si="4"/>
        <v>9.201114168705772</v>
      </c>
      <c r="I17">
        <f aca="true" t="shared" si="12" ref="I17:I80">-$B$3*B17*($B$11-$B$12)*2*3.1415/360</f>
        <v>1.12942743117082</v>
      </c>
      <c r="J17">
        <f aca="true" t="shared" si="13" ref="J17:J80">(I17-I16)/10*$E$8</f>
        <v>0.4824904063590054</v>
      </c>
      <c r="K17">
        <f aca="true" t="shared" si="14" ref="K17:K80">(J17-J16)/0.8333*$E$8</f>
        <v>2.092931669261466</v>
      </c>
      <c r="L17" s="1"/>
      <c r="M17" s="12">
        <v>11981</v>
      </c>
      <c r="N17">
        <f t="shared" si="6"/>
        <v>68569.27481030786</v>
      </c>
      <c r="O17">
        <f t="shared" si="7"/>
        <v>51111.23357518969</v>
      </c>
      <c r="P17">
        <f t="shared" si="8"/>
        <v>17458.041235118173</v>
      </c>
      <c r="Q17">
        <f t="shared" si="9"/>
        <v>30500</v>
      </c>
      <c r="R17">
        <f aca="true" t="shared" si="15" ref="R17:R80">(M17+M16)/2*(I17-I16)/12</f>
        <v>789.1733709009483</v>
      </c>
      <c r="S17">
        <f aca="true" t="shared" si="16" ref="S17:S80">IF(P17&lt;0,(P16+P17)/2,0)</f>
        <v>0</v>
      </c>
      <c r="T17">
        <f aca="true" t="shared" si="17" ref="T17:T80">IF(P17&gt;=0,(P16+P17)/2,0)</f>
        <v>13114.294255870915</v>
      </c>
      <c r="U17">
        <f t="shared" si="10"/>
        <v>304783203.76708645</v>
      </c>
    </row>
    <row r="18" spans="1:21" ht="12.75">
      <c r="A18">
        <f t="shared" si="11"/>
        <v>15</v>
      </c>
      <c r="B18" s="1">
        <f t="shared" si="0"/>
        <v>0.016667348450505555</v>
      </c>
      <c r="C18" s="1">
        <f t="shared" si="5"/>
        <v>17.29247531337992</v>
      </c>
      <c r="D18">
        <f t="shared" si="1"/>
        <v>107.69795184310404</v>
      </c>
      <c r="E18">
        <f t="shared" si="2"/>
        <v>221.8845364687672</v>
      </c>
      <c r="F18">
        <f t="shared" si="3"/>
        <v>48.93949356201248</v>
      </c>
      <c r="G18">
        <f t="shared" si="4"/>
        <v>13.465438673708888</v>
      </c>
      <c r="I18">
        <f t="shared" si="12"/>
        <v>2.406441894753237</v>
      </c>
      <c r="J18">
        <f t="shared" si="13"/>
        <v>0.7662086781494503</v>
      </c>
      <c r="K18">
        <f t="shared" si="14"/>
        <v>2.042853271022044</v>
      </c>
      <c r="L18" s="1"/>
      <c r="M18" s="12">
        <v>12289</v>
      </c>
      <c r="N18">
        <f t="shared" si="6"/>
        <v>104559.02115225296</v>
      </c>
      <c r="O18">
        <f t="shared" si="7"/>
        <v>76180.24470902207</v>
      </c>
      <c r="P18">
        <f t="shared" si="8"/>
        <v>28378.77644323089</v>
      </c>
      <c r="Q18">
        <f t="shared" si="9"/>
        <v>30500</v>
      </c>
      <c r="R18">
        <f t="shared" si="15"/>
        <v>1291.3808762977192</v>
      </c>
      <c r="S18">
        <f t="shared" si="16"/>
        <v>0</v>
      </c>
      <c r="T18">
        <f t="shared" si="17"/>
        <v>22918.40883917453</v>
      </c>
      <c r="U18">
        <f t="shared" si="10"/>
        <v>805354952.4148765</v>
      </c>
    </row>
    <row r="19" spans="1:21" ht="12.75">
      <c r="A19">
        <f t="shared" si="11"/>
        <v>20</v>
      </c>
      <c r="B19" s="1">
        <f t="shared" si="0"/>
        <v>0.028691768104091728</v>
      </c>
      <c r="C19" s="1">
        <f t="shared" si="5"/>
        <v>22.46735308118422</v>
      </c>
      <c r="D19">
        <f t="shared" si="1"/>
        <v>106.48363296900285</v>
      </c>
      <c r="E19">
        <f t="shared" si="2"/>
        <v>220.57309389657067</v>
      </c>
      <c r="F19">
        <f t="shared" si="3"/>
        <v>49.41773267886427</v>
      </c>
      <c r="G19">
        <f t="shared" si="4"/>
        <v>17.72935891645949</v>
      </c>
      <c r="I19">
        <f t="shared" si="12"/>
        <v>4.142534909212671</v>
      </c>
      <c r="J19">
        <f t="shared" si="13"/>
        <v>1.0416558086756602</v>
      </c>
      <c r="K19">
        <f t="shared" si="14"/>
        <v>1.983298671735581</v>
      </c>
      <c r="L19" s="1"/>
      <c r="M19" s="12">
        <v>12595</v>
      </c>
      <c r="N19">
        <f t="shared" si="6"/>
        <v>142723.9503176351</v>
      </c>
      <c r="O19">
        <f t="shared" si="7"/>
        <v>100669.47818172937</v>
      </c>
      <c r="P19">
        <f t="shared" si="8"/>
        <v>42054.472135905744</v>
      </c>
      <c r="Q19">
        <f t="shared" si="9"/>
        <v>30500</v>
      </c>
      <c r="R19">
        <f t="shared" si="15"/>
        <v>1800.0391071586898</v>
      </c>
      <c r="S19">
        <f t="shared" si="16"/>
        <v>0</v>
      </c>
      <c r="T19">
        <f t="shared" si="17"/>
        <v>35216.62428956832</v>
      </c>
      <c r="U19">
        <f t="shared" si="10"/>
        <v>1768578626.6296725</v>
      </c>
    </row>
    <row r="20" spans="1:21" ht="12.75">
      <c r="A20">
        <f t="shared" si="11"/>
        <v>25</v>
      </c>
      <c r="B20" s="1">
        <f t="shared" si="0"/>
        <v>0.04378853733666797</v>
      </c>
      <c r="C20" s="1">
        <f t="shared" si="5"/>
        <v>27.45661026441939</v>
      </c>
      <c r="D20">
        <f t="shared" si="1"/>
        <v>105.15350607078564</v>
      </c>
      <c r="E20">
        <f t="shared" si="2"/>
        <v>219.11803600912768</v>
      </c>
      <c r="F20">
        <f t="shared" si="3"/>
        <v>50.01816627924591</v>
      </c>
      <c r="G20">
        <f t="shared" si="4"/>
        <v>21.999665618623908</v>
      </c>
      <c r="I20">
        <f t="shared" si="12"/>
        <v>6.32221562234921</v>
      </c>
      <c r="J20">
        <f t="shared" si="13"/>
        <v>1.3078084278819238</v>
      </c>
      <c r="K20">
        <f t="shared" si="14"/>
        <v>1.9163755133056295</v>
      </c>
      <c r="L20" s="1"/>
      <c r="M20" s="12">
        <v>13005</v>
      </c>
      <c r="N20">
        <f t="shared" si="6"/>
        <v>185675.43673957718</v>
      </c>
      <c r="O20">
        <f t="shared" si="7"/>
        <v>124392.55613958085</v>
      </c>
      <c r="P20">
        <f t="shared" si="8"/>
        <v>61282.88059999634</v>
      </c>
      <c r="Q20">
        <f t="shared" si="9"/>
        <v>27381.032423474786</v>
      </c>
      <c r="R20">
        <f t="shared" si="15"/>
        <v>2324.9927606789756</v>
      </c>
      <c r="S20">
        <f t="shared" si="16"/>
        <v>0</v>
      </c>
      <c r="T20">
        <f t="shared" si="17"/>
        <v>51668.67636795104</v>
      </c>
      <c r="U20">
        <f t="shared" si="10"/>
        <v>3755591454.6334076</v>
      </c>
    </row>
    <row r="21" spans="1:21" ht="12.75">
      <c r="A21">
        <f t="shared" si="11"/>
        <v>30</v>
      </c>
      <c r="B21" s="1">
        <f t="shared" si="0"/>
        <v>0.061841429126278484</v>
      </c>
      <c r="C21" s="1">
        <f t="shared" si="5"/>
        <v>32.24750573549026</v>
      </c>
      <c r="D21">
        <f t="shared" si="1"/>
        <v>103.71914108366123</v>
      </c>
      <c r="E21">
        <f t="shared" si="2"/>
        <v>217.52767287441316</v>
      </c>
      <c r="F21">
        <f t="shared" si="3"/>
        <v>50.73617174435868</v>
      </c>
      <c r="G21">
        <f t="shared" si="4"/>
        <v>26.28330609661228</v>
      </c>
      <c r="I21">
        <f t="shared" si="12"/>
        <v>8.928703106124578</v>
      </c>
      <c r="J21">
        <f t="shared" si="13"/>
        <v>1.5638924902652205</v>
      </c>
      <c r="K21">
        <f t="shared" si="14"/>
        <v>1.8438790043199091</v>
      </c>
      <c r="L21" s="1"/>
      <c r="M21" s="12">
        <v>13312</v>
      </c>
      <c r="N21">
        <f t="shared" si="6"/>
        <v>227973.87078707136</v>
      </c>
      <c r="O21">
        <f t="shared" si="7"/>
        <v>147168.9316349311</v>
      </c>
      <c r="P21">
        <f t="shared" si="8"/>
        <v>80804.93915214026</v>
      </c>
      <c r="Q21">
        <f t="shared" si="9"/>
        <v>24946.855232692797</v>
      </c>
      <c r="R21">
        <f t="shared" si="15"/>
        <v>2858.122129604848</v>
      </c>
      <c r="S21">
        <f t="shared" si="16"/>
        <v>0</v>
      </c>
      <c r="T21">
        <f t="shared" si="17"/>
        <v>71043.9098760683</v>
      </c>
      <c r="U21">
        <f t="shared" si="10"/>
        <v>6529438191.381089</v>
      </c>
    </row>
    <row r="22" spans="1:21" ht="12.75">
      <c r="A22">
        <f t="shared" si="11"/>
        <v>35</v>
      </c>
      <c r="B22" s="1">
        <f t="shared" si="0"/>
        <v>0.0827275203594865</v>
      </c>
      <c r="C22" s="1">
        <f t="shared" si="5"/>
        <v>36.830423600009006</v>
      </c>
      <c r="D22">
        <f t="shared" si="1"/>
        <v>102.19245175654349</v>
      </c>
      <c r="E22">
        <f t="shared" si="2"/>
        <v>215.81125788859012</v>
      </c>
      <c r="F22">
        <f t="shared" si="3"/>
        <v>51.56686013628255</v>
      </c>
      <c r="G22">
        <f t="shared" si="4"/>
        <v>30.587305161418413</v>
      </c>
      <c r="I22">
        <f t="shared" si="12"/>
        <v>11.94424964674457</v>
      </c>
      <c r="J22">
        <f t="shared" si="13"/>
        <v>1.8093279243719953</v>
      </c>
      <c r="K22">
        <f t="shared" si="14"/>
        <v>1.7672058138013305</v>
      </c>
      <c r="L22" s="1"/>
      <c r="M22" s="12">
        <v>13824</v>
      </c>
      <c r="N22">
        <f t="shared" si="6"/>
        <v>279230.0038451627</v>
      </c>
      <c r="O22">
        <f t="shared" si="7"/>
        <v>168825.26269750905</v>
      </c>
      <c r="P22">
        <f t="shared" si="8"/>
        <v>110404.74114765364</v>
      </c>
      <c r="Q22">
        <f t="shared" si="9"/>
        <v>23207.417975465854</v>
      </c>
      <c r="R22">
        <f t="shared" si="15"/>
        <v>3409.5779552610043</v>
      </c>
      <c r="S22">
        <f t="shared" si="16"/>
        <v>0</v>
      </c>
      <c r="T22">
        <f t="shared" si="17"/>
        <v>95604.84014989695</v>
      </c>
      <c r="U22">
        <f t="shared" si="10"/>
        <v>12189206867.880404</v>
      </c>
    </row>
    <row r="23" spans="1:21" ht="12.75">
      <c r="A23">
        <f t="shared" si="11"/>
        <v>40</v>
      </c>
      <c r="B23" s="1">
        <f t="shared" si="0"/>
        <v>0.10631871347125993</v>
      </c>
      <c r="C23" s="1">
        <f t="shared" si="5"/>
        <v>41.19765061796684</v>
      </c>
      <c r="D23">
        <f t="shared" si="1"/>
        <v>100.58555918002709</v>
      </c>
      <c r="E23">
        <f t="shared" si="2"/>
        <v>213.97898515298488</v>
      </c>
      <c r="F23">
        <f t="shared" si="3"/>
        <v>52.505136717131066</v>
      </c>
      <c r="G23">
        <f t="shared" si="4"/>
        <v>34.91868916575052</v>
      </c>
      <c r="I23">
        <f t="shared" si="12"/>
        <v>15.35036043995017</v>
      </c>
      <c r="J23">
        <f t="shared" si="13"/>
        <v>2.0436664759233603</v>
      </c>
      <c r="K23">
        <f t="shared" si="14"/>
        <v>1.6873050633723623</v>
      </c>
      <c r="L23" s="1"/>
      <c r="M23" s="12">
        <v>14336</v>
      </c>
      <c r="N23">
        <f t="shared" si="6"/>
        <v>333433.35006711714</v>
      </c>
      <c r="O23">
        <f t="shared" si="7"/>
        <v>189196.7315714782</v>
      </c>
      <c r="P23">
        <f t="shared" si="8"/>
        <v>144236.61849563895</v>
      </c>
      <c r="Q23">
        <f t="shared" si="9"/>
        <v>21903.50389470988</v>
      </c>
      <c r="R23">
        <f t="shared" si="15"/>
        <v>3996.5033306945716</v>
      </c>
      <c r="S23">
        <f t="shared" si="16"/>
        <v>0</v>
      </c>
      <c r="T23">
        <f t="shared" si="17"/>
        <v>127320.67982164629</v>
      </c>
      <c r="U23">
        <f t="shared" si="10"/>
        <v>20804202115.056496</v>
      </c>
    </row>
    <row r="24" spans="1:21" ht="12.75">
      <c r="A24">
        <f t="shared" si="11"/>
        <v>45</v>
      </c>
      <c r="B24" s="1">
        <f t="shared" si="0"/>
        <v>0.1324825129291556</v>
      </c>
      <c r="C24" s="1">
        <f t="shared" si="5"/>
        <v>45.34214399560879</v>
      </c>
      <c r="D24">
        <f t="shared" si="1"/>
        <v>98.91068751652743</v>
      </c>
      <c r="E24">
        <f t="shared" si="2"/>
        <v>212.04198388503823</v>
      </c>
      <c r="F24">
        <f t="shared" si="3"/>
        <v>53.54573183163205</v>
      </c>
      <c r="G24">
        <f t="shared" si="4"/>
        <v>39.28441261675184</v>
      </c>
      <c r="I24">
        <f t="shared" si="12"/>
        <v>19.127905700275754</v>
      </c>
      <c r="J24">
        <f t="shared" si="13"/>
        <v>2.26652715619535</v>
      </c>
      <c r="K24">
        <f t="shared" si="14"/>
        <v>1.6046610844017017</v>
      </c>
      <c r="L24" s="1"/>
      <c r="M24" s="12">
        <v>14848</v>
      </c>
      <c r="N24">
        <f t="shared" si="6"/>
        <v>390192.00152278744</v>
      </c>
      <c r="O24">
        <f t="shared" si="7"/>
        <v>208128.29907807842</v>
      </c>
      <c r="P24">
        <f t="shared" si="8"/>
        <v>182063.70244470902</v>
      </c>
      <c r="Q24">
        <f t="shared" si="9"/>
        <v>20889.538255928543</v>
      </c>
      <c r="R24">
        <f t="shared" si="15"/>
        <v>4593.49503655591</v>
      </c>
      <c r="S24">
        <f t="shared" si="16"/>
        <v>0</v>
      </c>
      <c r="T24">
        <f t="shared" si="17"/>
        <v>163150.16047017399</v>
      </c>
      <c r="U24">
        <f t="shared" si="10"/>
        <v>33147191747.875546</v>
      </c>
    </row>
    <row r="25" spans="1:21" ht="12.75">
      <c r="A25">
        <f t="shared" si="11"/>
        <v>50</v>
      </c>
      <c r="B25" s="1">
        <f t="shared" si="0"/>
        <v>0.16108206876906964</v>
      </c>
      <c r="C25" s="1">
        <f t="shared" si="5"/>
        <v>49.2563461865742</v>
      </c>
      <c r="D25">
        <f t="shared" si="1"/>
        <v>97.18009018010804</v>
      </c>
      <c r="E25">
        <f t="shared" si="2"/>
        <v>210.01230881583487</v>
      </c>
      <c r="F25">
        <f t="shared" si="3"/>
        <v>54.68320263864557</v>
      </c>
      <c r="G25">
        <f t="shared" si="4"/>
        <v>43.691286087345986</v>
      </c>
      <c r="I25">
        <f t="shared" si="12"/>
        <v>23.257126946767194</v>
      </c>
      <c r="J25">
        <f t="shared" si="13"/>
        <v>2.4775327478948643</v>
      </c>
      <c r="K25">
        <f t="shared" si="14"/>
        <v>1.5193010322777944</v>
      </c>
      <c r="L25" s="1"/>
      <c r="M25" s="12">
        <v>15156</v>
      </c>
      <c r="N25">
        <f t="shared" si="6"/>
        <v>439046.6387594139</v>
      </c>
      <c r="O25">
        <f t="shared" si="7"/>
        <v>225475.88455739152</v>
      </c>
      <c r="P25">
        <f t="shared" si="8"/>
        <v>213570.7542020224</v>
      </c>
      <c r="Q25">
        <f t="shared" si="9"/>
        <v>20077.78702983163</v>
      </c>
      <c r="R25">
        <f t="shared" si="15"/>
        <v>5162.214761655382</v>
      </c>
      <c r="S25">
        <f t="shared" si="16"/>
        <v>0</v>
      </c>
      <c r="T25">
        <f t="shared" si="17"/>
        <v>197817.2283233657</v>
      </c>
      <c r="U25">
        <f t="shared" si="10"/>
        <v>45612467050.42066</v>
      </c>
    </row>
    <row r="26" spans="1:21" ht="12.75">
      <c r="A26">
        <f t="shared" si="11"/>
        <v>55</v>
      </c>
      <c r="B26" s="1">
        <f t="shared" si="0"/>
        <v>0.1919755284993886</v>
      </c>
      <c r="C26" s="1">
        <f t="shared" si="5"/>
        <v>52.93108703417307</v>
      </c>
      <c r="D26">
        <f t="shared" si="1"/>
        <v>95.40600313947742</v>
      </c>
      <c r="E26">
        <f t="shared" si="2"/>
        <v>207.90292531568977</v>
      </c>
      <c r="F26">
        <f t="shared" si="3"/>
        <v>55.91190733488575</v>
      </c>
      <c r="G26">
        <f t="shared" si="4"/>
        <v>48.14590374295554</v>
      </c>
      <c r="I26">
        <f t="shared" si="12"/>
        <v>27.717543430509487</v>
      </c>
      <c r="J26">
        <f t="shared" si="13"/>
        <v>2.6762498902453755</v>
      </c>
      <c r="K26">
        <f t="shared" si="14"/>
        <v>1.4308206577499907</v>
      </c>
      <c r="L26" s="1"/>
      <c r="M26" s="12">
        <v>15565</v>
      </c>
      <c r="N26">
        <f t="shared" si="6"/>
        <v>493450.2706004266</v>
      </c>
      <c r="O26">
        <f t="shared" si="7"/>
        <v>241107.4624091614</v>
      </c>
      <c r="P26">
        <f t="shared" si="8"/>
        <v>252342.80819126518</v>
      </c>
      <c r="Q26">
        <f t="shared" si="9"/>
        <v>19412.591334696204</v>
      </c>
      <c r="R26">
        <f t="shared" si="15"/>
        <v>5709.518949876958</v>
      </c>
      <c r="S26">
        <f t="shared" si="16"/>
        <v>0</v>
      </c>
      <c r="T26">
        <f t="shared" si="17"/>
        <v>232956.78119664377</v>
      </c>
      <c r="U26">
        <f t="shared" si="10"/>
        <v>63676892845.85365</v>
      </c>
    </row>
    <row r="27" spans="1:21" ht="12.75">
      <c r="A27">
        <f t="shared" si="11"/>
        <v>60</v>
      </c>
      <c r="B27" s="1">
        <f t="shared" si="0"/>
        <v>0.22501475930238554</v>
      </c>
      <c r="C27" s="1">
        <f t="shared" si="5"/>
        <v>56.35460203821433</v>
      </c>
      <c r="D27">
        <f t="shared" si="1"/>
        <v>93.60062104749831</v>
      </c>
      <c r="E27">
        <f t="shared" si="2"/>
        <v>205.72768775790564</v>
      </c>
      <c r="F27">
        <f t="shared" si="3"/>
        <v>57.2259543339004</v>
      </c>
      <c r="G27">
        <f t="shared" si="4"/>
        <v>52.65456864999106</v>
      </c>
      <c r="I27">
        <f t="shared" si="12"/>
        <v>32.487767645288045</v>
      </c>
      <c r="J27">
        <f t="shared" si="13"/>
        <v>2.862134528867135</v>
      </c>
      <c r="K27">
        <f t="shared" si="14"/>
        <v>1.338422934994069</v>
      </c>
      <c r="L27" s="1"/>
      <c r="M27" s="12">
        <v>15872</v>
      </c>
      <c r="N27">
        <f t="shared" si="6"/>
        <v>542666.8657453931</v>
      </c>
      <c r="O27">
        <f t="shared" si="7"/>
        <v>254904.06688733134</v>
      </c>
      <c r="P27">
        <f t="shared" si="8"/>
        <v>287762.7988580618</v>
      </c>
      <c r="Q27">
        <f t="shared" si="9"/>
        <v>18857.332076834748</v>
      </c>
      <c r="R27">
        <f t="shared" si="15"/>
        <v>6248.397443333063</v>
      </c>
      <c r="S27">
        <f t="shared" si="16"/>
        <v>0</v>
      </c>
      <c r="T27">
        <f t="shared" si="17"/>
        <v>270052.8035246635</v>
      </c>
      <c r="U27">
        <f t="shared" si="10"/>
        <v>82807428406.62532</v>
      </c>
    </row>
    <row r="28" spans="1:21" ht="12.75">
      <c r="A28">
        <f t="shared" si="11"/>
        <v>65</v>
      </c>
      <c r="B28" s="1">
        <f t="shared" si="0"/>
        <v>0.2600435177966071</v>
      </c>
      <c r="C28" s="1">
        <f t="shared" si="5"/>
        <v>59.51168967120359</v>
      </c>
      <c r="D28">
        <f t="shared" si="1"/>
        <v>91.77609139155595</v>
      </c>
      <c r="E28">
        <f t="shared" si="2"/>
        <v>203.5013093861683</v>
      </c>
      <c r="F28">
        <f t="shared" si="3"/>
        <v>58.61912947326731</v>
      </c>
      <c r="G28">
        <f t="shared" si="4"/>
        <v>57.22321413341564</v>
      </c>
      <c r="I28">
        <f t="shared" si="12"/>
        <v>37.54524107677026</v>
      </c>
      <c r="J28">
        <f t="shared" si="13"/>
        <v>3.0344840588893294</v>
      </c>
      <c r="K28">
        <f t="shared" si="14"/>
        <v>1.2409662548099907</v>
      </c>
      <c r="L28" s="1"/>
      <c r="M28" s="12">
        <v>15975</v>
      </c>
      <c r="N28">
        <f t="shared" si="6"/>
        <v>579197.7577717477</v>
      </c>
      <c r="O28">
        <f t="shared" si="7"/>
        <v>266760.6975012049</v>
      </c>
      <c r="P28">
        <f t="shared" si="8"/>
        <v>312437.06027054274</v>
      </c>
      <c r="Q28">
        <f t="shared" si="9"/>
        <v>18387.348574248666</v>
      </c>
      <c r="R28">
        <f t="shared" si="15"/>
        <v>6711.056515517254</v>
      </c>
      <c r="S28">
        <f t="shared" si="16"/>
        <v>0</v>
      </c>
      <c r="T28">
        <f t="shared" si="17"/>
        <v>300099.92956430226</v>
      </c>
      <c r="U28">
        <f t="shared" si="10"/>
        <v>97616916630.49876</v>
      </c>
    </row>
    <row r="29" spans="1:21" ht="12.75">
      <c r="A29">
        <f t="shared" si="11"/>
        <v>70</v>
      </c>
      <c r="B29" s="1">
        <f t="shared" si="0"/>
        <v>0.296895158125628</v>
      </c>
      <c r="C29" s="1">
        <f t="shared" si="5"/>
        <v>62.383030369919325</v>
      </c>
      <c r="D29">
        <f t="shared" si="1"/>
        <v>89.94452165904103</v>
      </c>
      <c r="E29">
        <f t="shared" si="2"/>
        <v>201.2393217048468</v>
      </c>
      <c r="F29">
        <f t="shared" si="3"/>
        <v>60.08480485995714</v>
      </c>
      <c r="G29">
        <f t="shared" si="4"/>
        <v>61.85731978759054</v>
      </c>
      <c r="I29">
        <f t="shared" si="12"/>
        <v>42.86590329496754</v>
      </c>
      <c r="J29">
        <f t="shared" si="13"/>
        <v>3.192397330918366</v>
      </c>
      <c r="K29">
        <f t="shared" si="14"/>
        <v>1.137021039450643</v>
      </c>
      <c r="L29" s="1"/>
      <c r="M29" s="12">
        <v>16077</v>
      </c>
      <c r="N29">
        <f t="shared" si="6"/>
        <v>613506.1617050931</v>
      </c>
      <c r="O29">
        <f t="shared" si="7"/>
        <v>276587.1181325812</v>
      </c>
      <c r="P29">
        <f t="shared" si="8"/>
        <v>336919.04357251193</v>
      </c>
      <c r="Q29">
        <f t="shared" si="9"/>
        <v>17985.86777576147</v>
      </c>
      <c r="R29">
        <f t="shared" si="15"/>
        <v>7105.744392402464</v>
      </c>
      <c r="S29">
        <f t="shared" si="16"/>
        <v>0</v>
      </c>
      <c r="T29">
        <f t="shared" si="17"/>
        <v>324678.05192152737</v>
      </c>
      <c r="U29">
        <f t="shared" si="10"/>
        <v>113514441921.8162</v>
      </c>
    </row>
    <row r="30" spans="1:21" ht="12.75">
      <c r="A30">
        <f t="shared" si="11"/>
        <v>75</v>
      </c>
      <c r="B30" s="1">
        <f t="shared" si="0"/>
        <v>0.33538998393729874</v>
      </c>
      <c r="C30" s="1">
        <f t="shared" si="5"/>
        <v>64.94469422816049</v>
      </c>
      <c r="D30">
        <f t="shared" si="1"/>
        <v>88.11799448608481</v>
      </c>
      <c r="E30">
        <f t="shared" si="2"/>
        <v>198.95802118153648</v>
      </c>
      <c r="F30">
        <f t="shared" si="3"/>
        <v>61.61583355239356</v>
      </c>
      <c r="G30">
        <f t="shared" si="4"/>
        <v>66.56182130707074</v>
      </c>
      <c r="I30">
        <f t="shared" si="12"/>
        <v>48.42380963139041</v>
      </c>
      <c r="J30">
        <f t="shared" si="13"/>
        <v>3.3347438018537243</v>
      </c>
      <c r="K30">
        <f t="shared" si="14"/>
        <v>1.0249355881581048</v>
      </c>
      <c r="L30" s="1"/>
      <c r="M30" s="12">
        <v>16180</v>
      </c>
      <c r="N30">
        <f t="shared" si="6"/>
        <v>645388.1586711218</v>
      </c>
      <c r="O30">
        <f t="shared" si="7"/>
        <v>284308.5437871005</v>
      </c>
      <c r="P30">
        <f t="shared" si="8"/>
        <v>361079.6148840213</v>
      </c>
      <c r="Q30">
        <f t="shared" si="9"/>
        <v>17641.557194841957</v>
      </c>
      <c r="R30">
        <f t="shared" si="15"/>
        <v>7470.057695583028</v>
      </c>
      <c r="S30">
        <f t="shared" si="16"/>
        <v>0</v>
      </c>
      <c r="T30">
        <f t="shared" si="17"/>
        <v>348999.3292282666</v>
      </c>
      <c r="U30">
        <f t="shared" si="10"/>
        <v>130378488284.79312</v>
      </c>
    </row>
    <row r="31" spans="1:21" ht="12.75">
      <c r="A31">
        <f t="shared" si="11"/>
        <v>80</v>
      </c>
      <c r="B31" s="1">
        <f t="shared" si="0"/>
        <v>0.375332368358617</v>
      </c>
      <c r="C31" s="1">
        <f t="shared" si="5"/>
        <v>67.16787213162851</v>
      </c>
      <c r="D31">
        <f t="shared" si="1"/>
        <v>86.30858580252867</v>
      </c>
      <c r="E31">
        <f t="shared" si="2"/>
        <v>196.67440086267533</v>
      </c>
      <c r="F31">
        <f t="shared" si="3"/>
        <v>63.204435015160115</v>
      </c>
      <c r="G31">
        <f t="shared" si="4"/>
        <v>71.34101408628115</v>
      </c>
      <c r="I31">
        <f t="shared" si="12"/>
        <v>54.19071535927082</v>
      </c>
      <c r="J31">
        <f t="shared" si="13"/>
        <v>3.4601434367282433</v>
      </c>
      <c r="K31">
        <f t="shared" si="14"/>
        <v>0.9029134876360422</v>
      </c>
      <c r="L31" s="1"/>
      <c r="M31" s="12">
        <v>16385</v>
      </c>
      <c r="N31">
        <f t="shared" si="6"/>
        <v>681250.4117665308</v>
      </c>
      <c r="O31">
        <f t="shared" si="7"/>
        <v>289866.2097532076</v>
      </c>
      <c r="P31">
        <f t="shared" si="8"/>
        <v>391384.20201332326</v>
      </c>
      <c r="Q31">
        <f t="shared" si="9"/>
        <v>17347.004540802627</v>
      </c>
      <c r="R31">
        <f t="shared" si="15"/>
        <v>7824.970209517726</v>
      </c>
      <c r="S31">
        <f t="shared" si="16"/>
        <v>0</v>
      </c>
      <c r="T31">
        <f t="shared" si="17"/>
        <v>376231.9084486723</v>
      </c>
      <c r="U31">
        <f t="shared" si="10"/>
        <v>153181593585.60583</v>
      </c>
    </row>
    <row r="32" spans="1:21" ht="12.75">
      <c r="A32">
        <f t="shared" si="11"/>
        <v>85</v>
      </c>
      <c r="B32" s="1">
        <f t="shared" si="0"/>
        <v>0.4165077898272443</v>
      </c>
      <c r="C32" s="1">
        <f t="shared" si="5"/>
        <v>69.01887427375893</v>
      </c>
      <c r="D32">
        <f t="shared" si="1"/>
        <v>84.52838103709266</v>
      </c>
      <c r="E32">
        <f t="shared" si="2"/>
        <v>194.40606438937994</v>
      </c>
      <c r="F32">
        <f t="shared" si="3"/>
        <v>64.84207722713029</v>
      </c>
      <c r="G32">
        <f t="shared" si="4"/>
        <v>76.19845153281531</v>
      </c>
      <c r="I32">
        <f t="shared" si="12"/>
        <v>60.1356477251158</v>
      </c>
      <c r="J32">
        <f t="shared" si="13"/>
        <v>3.5669594195069902</v>
      </c>
      <c r="K32">
        <f t="shared" si="14"/>
        <v>0.7691058402405875</v>
      </c>
      <c r="L32" s="1"/>
      <c r="M32" s="12">
        <v>16692</v>
      </c>
      <c r="N32">
        <f t="shared" si="6"/>
        <v>721213.002799141</v>
      </c>
      <c r="O32">
        <f t="shared" si="7"/>
        <v>293217.81883708993</v>
      </c>
      <c r="P32">
        <f t="shared" si="8"/>
        <v>427995.18396205106</v>
      </c>
      <c r="Q32">
        <f t="shared" si="9"/>
        <v>17097.755908548574</v>
      </c>
      <c r="R32">
        <f t="shared" si="15"/>
        <v>8193.355327710606</v>
      </c>
      <c r="S32">
        <f t="shared" si="16"/>
        <v>0</v>
      </c>
      <c r="T32">
        <f t="shared" si="17"/>
        <v>409689.6929876872</v>
      </c>
      <c r="U32">
        <f t="shared" si="10"/>
        <v>183179877494.70993</v>
      </c>
    </row>
    <row r="33" spans="1:21" ht="12.75">
      <c r="A33">
        <f t="shared" si="11"/>
        <v>90</v>
      </c>
      <c r="B33" s="1">
        <f t="shared" si="0"/>
        <v>0.45867996083544454</v>
      </c>
      <c r="C33" s="1">
        <f t="shared" si="5"/>
        <v>70.45944836364136</v>
      </c>
      <c r="D33">
        <f t="shared" si="1"/>
        <v>82.78948447890438</v>
      </c>
      <c r="E33">
        <f t="shared" si="2"/>
        <v>192.1711199035901</v>
      </c>
      <c r="F33">
        <f t="shared" si="3"/>
        <v>66.51936248494057</v>
      </c>
      <c r="G33">
        <f t="shared" si="4"/>
        <v>81.13684023243732</v>
      </c>
      <c r="I33">
        <f t="shared" si="12"/>
        <v>66.22449139501296</v>
      </c>
      <c r="J33">
        <f t="shared" si="13"/>
        <v>3.6533062019382956</v>
      </c>
      <c r="K33">
        <f t="shared" si="14"/>
        <v>0.6217217023734933</v>
      </c>
      <c r="L33" s="1"/>
      <c r="M33" s="12">
        <v>16897</v>
      </c>
      <c r="N33">
        <f t="shared" si="6"/>
        <v>750710.4744282104</v>
      </c>
      <c r="O33">
        <f t="shared" si="7"/>
        <v>294337.86326986225</v>
      </c>
      <c r="P33">
        <f t="shared" si="8"/>
        <v>456372.61115834815</v>
      </c>
      <c r="Q33">
        <f t="shared" si="9"/>
        <v>16891.711693505957</v>
      </c>
      <c r="R33">
        <f t="shared" si="15"/>
        <v>8521.590417840653</v>
      </c>
      <c r="S33">
        <f t="shared" si="16"/>
        <v>0</v>
      </c>
      <c r="T33">
        <f t="shared" si="17"/>
        <v>442183.8975601996</v>
      </c>
      <c r="U33">
        <f t="shared" si="10"/>
        <v>208275960215.48883</v>
      </c>
    </row>
    <row r="34" spans="1:21" ht="12.75">
      <c r="A34">
        <f t="shared" si="11"/>
        <v>95</v>
      </c>
      <c r="B34" s="1">
        <f t="shared" si="0"/>
        <v>0.5015882599474955</v>
      </c>
      <c r="C34" s="1">
        <f t="shared" si="5"/>
        <v>71.44747454942245</v>
      </c>
      <c r="D34">
        <f t="shared" si="1"/>
        <v>81.10401691966322</v>
      </c>
      <c r="E34">
        <f t="shared" si="2"/>
        <v>189.98805150327604</v>
      </c>
      <c r="F34">
        <f t="shared" si="3"/>
        <v>68.22592526835437</v>
      </c>
      <c r="G34">
        <f t="shared" si="4"/>
        <v>86.15793545660995</v>
      </c>
      <c r="I34">
        <f t="shared" si="12"/>
        <v>72.41961768774433</v>
      </c>
      <c r="J34">
        <f t="shared" si="13"/>
        <v>3.7170757756388237</v>
      </c>
      <c r="K34">
        <f t="shared" si="14"/>
        <v>0.45915929701568337</v>
      </c>
      <c r="L34" s="1"/>
      <c r="M34" s="12">
        <v>17204</v>
      </c>
      <c r="N34">
        <f t="shared" si="6"/>
        <v>783171.7780633925</v>
      </c>
      <c r="O34">
        <f t="shared" si="7"/>
        <v>293217.81883708993</v>
      </c>
      <c r="P34">
        <f t="shared" si="8"/>
        <v>489953.95922630257</v>
      </c>
      <c r="Q34">
        <f t="shared" si="9"/>
        <v>16728.770337364193</v>
      </c>
      <c r="R34">
        <f t="shared" si="15"/>
        <v>8802.50007118469</v>
      </c>
      <c r="S34">
        <f t="shared" si="16"/>
        <v>0</v>
      </c>
      <c r="T34">
        <f t="shared" si="17"/>
        <v>473163.28519232536</v>
      </c>
      <c r="U34">
        <f t="shared" si="10"/>
        <v>240054882161.52936</v>
      </c>
    </row>
    <row r="35" spans="1:21" ht="12.75">
      <c r="A35">
        <f t="shared" si="11"/>
        <v>100</v>
      </c>
      <c r="B35" s="1">
        <f t="shared" si="0"/>
        <v>0.5449457116689792</v>
      </c>
      <c r="C35" s="1">
        <f t="shared" si="5"/>
        <v>71.93809179600156</v>
      </c>
      <c r="D35">
        <f t="shared" si="1"/>
        <v>79.48409677795223</v>
      </c>
      <c r="E35">
        <f t="shared" si="2"/>
        <v>187.87556629320792</v>
      </c>
      <c r="F35">
        <f t="shared" si="3"/>
        <v>69.95035189496852</v>
      </c>
      <c r="G35">
        <f t="shared" si="4"/>
        <v>91.26244194151312</v>
      </c>
      <c r="I35">
        <f t="shared" si="12"/>
        <v>78.67959290708731</v>
      </c>
      <c r="J35">
        <f t="shared" si="13"/>
        <v>3.755985131605786</v>
      </c>
      <c r="K35">
        <f t="shared" si="14"/>
        <v>0.2801585693049017</v>
      </c>
      <c r="L35" s="1"/>
      <c r="M35" s="12">
        <v>17409</v>
      </c>
      <c r="N35">
        <f t="shared" si="6"/>
        <v>803296.9897924187</v>
      </c>
      <c r="O35">
        <f t="shared" si="7"/>
        <v>289866.2097532076</v>
      </c>
      <c r="P35">
        <f t="shared" si="8"/>
        <v>513430.7800392111</v>
      </c>
      <c r="Q35">
        <f t="shared" si="9"/>
        <v>16610.66383892875</v>
      </c>
      <c r="R35">
        <f t="shared" si="15"/>
        <v>9028.188427796602</v>
      </c>
      <c r="S35">
        <f t="shared" si="16"/>
        <v>0</v>
      </c>
      <c r="T35">
        <f t="shared" si="17"/>
        <v>501692.3696327568</v>
      </c>
      <c r="U35">
        <f t="shared" si="10"/>
        <v>263611165891.67276</v>
      </c>
    </row>
    <row r="36" spans="1:21" ht="12.75">
      <c r="A36">
        <f t="shared" si="11"/>
        <v>105</v>
      </c>
      <c r="B36" s="1">
        <f t="shared" si="0"/>
        <v>0.5884377885567486</v>
      </c>
      <c r="C36" s="1">
        <f t="shared" si="5"/>
        <v>71.88529755212973</v>
      </c>
      <c r="D36">
        <f t="shared" si="1"/>
        <v>77.94180012269543</v>
      </c>
      <c r="E36">
        <f t="shared" si="2"/>
        <v>185.85241573666752</v>
      </c>
      <c r="F36">
        <f t="shared" si="3"/>
        <v>71.68013287734247</v>
      </c>
      <c r="G36">
        <f t="shared" si="4"/>
        <v>96.44992626863026</v>
      </c>
      <c r="I36">
        <f t="shared" si="12"/>
        <v>84.95900538972383</v>
      </c>
      <c r="J36">
        <f t="shared" si="13"/>
        <v>3.7676474895819094</v>
      </c>
      <c r="K36">
        <f t="shared" si="14"/>
        <v>0.08397233632154025</v>
      </c>
      <c r="L36" s="1"/>
      <c r="M36" s="12">
        <v>17716</v>
      </c>
      <c r="N36">
        <f t="shared" si="6"/>
        <v>824776.2490055508</v>
      </c>
      <c r="O36">
        <f t="shared" si="7"/>
        <v>284308.5437871005</v>
      </c>
      <c r="P36">
        <f t="shared" si="8"/>
        <v>540467.7052184502</v>
      </c>
      <c r="Q36">
        <f t="shared" si="9"/>
        <v>16540.965492322044</v>
      </c>
      <c r="R36">
        <f t="shared" si="15"/>
        <v>9190.181810525319</v>
      </c>
      <c r="S36">
        <f t="shared" si="16"/>
        <v>0</v>
      </c>
      <c r="T36">
        <f t="shared" si="17"/>
        <v>526949.2426288306</v>
      </c>
      <c r="U36">
        <f t="shared" si="10"/>
        <v>292105340384.09753</v>
      </c>
    </row>
    <row r="37" spans="1:21" ht="12.75">
      <c r="A37">
        <f t="shared" si="11"/>
        <v>110</v>
      </c>
      <c r="B37" s="1">
        <f t="shared" si="0"/>
        <v>0.6317223278904119</v>
      </c>
      <c r="C37" s="1">
        <f t="shared" si="5"/>
        <v>71.24403563837832</v>
      </c>
      <c r="D37">
        <f t="shared" si="1"/>
        <v>76.48909548548693</v>
      </c>
      <c r="E37">
        <f t="shared" si="2"/>
        <v>183.9371909857685</v>
      </c>
      <c r="F37">
        <f t="shared" si="3"/>
        <v>73.40165960882959</v>
      </c>
      <c r="G37">
        <f t="shared" si="4"/>
        <v>101.71874836290888</v>
      </c>
      <c r="I37">
        <f t="shared" si="12"/>
        <v>91.20845347421877</v>
      </c>
      <c r="J37">
        <f t="shared" si="13"/>
        <v>3.7496688506969664</v>
      </c>
      <c r="K37">
        <f t="shared" si="14"/>
        <v>-0.12945137802671067</v>
      </c>
      <c r="L37" s="1"/>
      <c r="M37" s="12">
        <v>17409</v>
      </c>
      <c r="N37">
        <f t="shared" si="6"/>
        <v>795546.8089320941</v>
      </c>
      <c r="O37">
        <f t="shared" si="7"/>
        <v>276587.11813258124</v>
      </c>
      <c r="P37">
        <f t="shared" si="8"/>
        <v>518959.6907995129</v>
      </c>
      <c r="Q37">
        <f t="shared" si="9"/>
        <v>16525.281240452397</v>
      </c>
      <c r="R37">
        <f t="shared" si="15"/>
        <v>9146.327665328537</v>
      </c>
      <c r="S37">
        <f t="shared" si="16"/>
        <v>0</v>
      </c>
      <c r="T37">
        <f t="shared" si="17"/>
        <v>529713.6980089815</v>
      </c>
      <c r="U37">
        <f t="shared" si="10"/>
        <v>269319160674.72604</v>
      </c>
    </row>
    <row r="38" spans="1:21" ht="12.75">
      <c r="A38">
        <f t="shared" si="11"/>
        <v>115</v>
      </c>
      <c r="B38" s="1">
        <f t="shared" si="0"/>
        <v>0.6744308520586104</v>
      </c>
      <c r="C38" s="1">
        <f t="shared" si="5"/>
        <v>69.97274416009951</v>
      </c>
      <c r="D38">
        <f t="shared" si="1"/>
        <v>75.13775021771622</v>
      </c>
      <c r="E38">
        <f t="shared" si="2"/>
        <v>182.14809317490273</v>
      </c>
      <c r="F38">
        <f t="shared" si="3"/>
        <v>75.10027687840825</v>
      </c>
      <c r="G38">
        <f t="shared" si="4"/>
        <v>107.06602036471685</v>
      </c>
      <c r="I38">
        <f t="shared" si="12"/>
        <v>97.3747361391928</v>
      </c>
      <c r="J38">
        <f t="shared" si="13"/>
        <v>3.6997695989844206</v>
      </c>
      <c r="K38">
        <f t="shared" si="14"/>
        <v>-0.35928898388968555</v>
      </c>
      <c r="L38" s="1"/>
      <c r="M38" s="12">
        <v>17204</v>
      </c>
      <c r="N38">
        <f t="shared" si="6"/>
        <v>767006.5150019075</v>
      </c>
      <c r="O38">
        <f t="shared" si="7"/>
        <v>266760.69750120497</v>
      </c>
      <c r="P38">
        <f t="shared" si="8"/>
        <v>500245.8175007025</v>
      </c>
      <c r="Q38">
        <f t="shared" si="9"/>
        <v>16571.670683323966</v>
      </c>
      <c r="R38">
        <f t="shared" si="15"/>
        <v>8893.064245114427</v>
      </c>
      <c r="S38">
        <f t="shared" si="16"/>
        <v>0</v>
      </c>
      <c r="T38">
        <f t="shared" si="17"/>
        <v>509602.75415010774</v>
      </c>
      <c r="U38">
        <f t="shared" si="10"/>
        <v>250245877926.94617</v>
      </c>
    </row>
    <row r="39" spans="1:21" ht="12.75">
      <c r="A39">
        <f t="shared" si="11"/>
        <v>120</v>
      </c>
      <c r="B39" s="1">
        <f t="shared" si="0"/>
        <v>0.7161715476453571</v>
      </c>
      <c r="C39" s="1">
        <f t="shared" si="5"/>
        <v>68.03627610881371</v>
      </c>
      <c r="D39">
        <f t="shared" si="1"/>
        <v>73.89920653894337</v>
      </c>
      <c r="E39">
        <f t="shared" si="2"/>
        <v>180.50268129006167</v>
      </c>
      <c r="F39">
        <f t="shared" si="3"/>
        <v>76.76040135586955</v>
      </c>
      <c r="G39">
        <f t="shared" si="4"/>
        <v>112.48760116340529</v>
      </c>
      <c r="I39">
        <f t="shared" si="12"/>
        <v>103.40128312561774</v>
      </c>
      <c r="J39">
        <f t="shared" si="13"/>
        <v>3.6159281918549593</v>
      </c>
      <c r="K39">
        <f t="shared" si="14"/>
        <v>-0.6036822786232663</v>
      </c>
      <c r="L39" s="1"/>
      <c r="M39" s="12">
        <v>16897</v>
      </c>
      <c r="N39">
        <f t="shared" si="6"/>
        <v>724892.7759464602</v>
      </c>
      <c r="O39">
        <f t="shared" si="7"/>
        <v>254904.06688733137</v>
      </c>
      <c r="P39">
        <f t="shared" si="8"/>
        <v>469988.7090591288</v>
      </c>
      <c r="Q39">
        <f t="shared" si="9"/>
        <v>16691.393375722742</v>
      </c>
      <c r="R39">
        <f t="shared" si="15"/>
        <v>8562.969949336526</v>
      </c>
      <c r="S39">
        <f t="shared" si="16"/>
        <v>0</v>
      </c>
      <c r="T39">
        <f t="shared" si="17"/>
        <v>485117.26327991567</v>
      </c>
      <c r="U39">
        <f t="shared" si="10"/>
        <v>220889386643.06644</v>
      </c>
    </row>
    <row r="40" spans="1:21" ht="12.75">
      <c r="A40">
        <f t="shared" si="11"/>
        <v>125</v>
      </c>
      <c r="B40" s="1">
        <f t="shared" si="0"/>
        <v>0.7565340843560132</v>
      </c>
      <c r="C40" s="1">
        <f t="shared" si="5"/>
        <v>65.40903422795608</v>
      </c>
      <c r="D40">
        <f t="shared" si="1"/>
        <v>72.78442742884934</v>
      </c>
      <c r="E40">
        <f t="shared" si="2"/>
        <v>179.01760211576956</v>
      </c>
      <c r="F40">
        <f t="shared" si="3"/>
        <v>78.36571325170355</v>
      </c>
      <c r="G40">
        <f t="shared" si="4"/>
        <v>117.97813394914527</v>
      </c>
      <c r="I40">
        <f t="shared" si="12"/>
        <v>109.22885069627667</v>
      </c>
      <c r="J40">
        <f t="shared" si="13"/>
        <v>3.4965405423953566</v>
      </c>
      <c r="K40">
        <f t="shared" si="14"/>
        <v>-0.8596254611275844</v>
      </c>
      <c r="L40" s="1"/>
      <c r="M40" s="12">
        <v>16077</v>
      </c>
      <c r="N40">
        <f t="shared" si="6"/>
        <v>643265.4087509711</v>
      </c>
      <c r="O40">
        <f t="shared" si="7"/>
        <v>241107.46240916138</v>
      </c>
      <c r="P40">
        <f t="shared" si="8"/>
        <v>402157.9463418097</v>
      </c>
      <c r="Q40">
        <f t="shared" si="9"/>
        <v>16900.159282103847</v>
      </c>
      <c r="R40">
        <f t="shared" si="15"/>
        <v>8006.59221145448</v>
      </c>
      <c r="S40">
        <f t="shared" si="16"/>
        <v>0</v>
      </c>
      <c r="T40">
        <f t="shared" si="17"/>
        <v>436073.3277004693</v>
      </c>
      <c r="U40">
        <f t="shared" si="10"/>
        <v>161731013805.86188</v>
      </c>
    </row>
    <row r="41" spans="1:21" ht="12.75">
      <c r="A41">
        <f t="shared" si="11"/>
        <v>130</v>
      </c>
      <c r="B41" s="1">
        <f t="shared" si="0"/>
        <v>0.7950963366398958</v>
      </c>
      <c r="C41" s="1">
        <f t="shared" si="5"/>
        <v>62.07808770557148</v>
      </c>
      <c r="D41">
        <f t="shared" si="1"/>
        <v>71.80371514265525</v>
      </c>
      <c r="E41">
        <f t="shared" si="2"/>
        <v>177.70830879333462</v>
      </c>
      <c r="F41">
        <f t="shared" si="3"/>
        <v>79.89942365165285</v>
      </c>
      <c r="G41">
        <f t="shared" si="4"/>
        <v>123.53113206290047</v>
      </c>
      <c r="I41">
        <f t="shared" si="12"/>
        <v>114.79649210771932</v>
      </c>
      <c r="J41">
        <f t="shared" si="13"/>
        <v>3.3405848468655908</v>
      </c>
      <c r="K41">
        <f t="shared" si="14"/>
        <v>-1.1229259248513082</v>
      </c>
      <c r="L41" s="1"/>
      <c r="M41" s="12">
        <v>15156</v>
      </c>
      <c r="N41">
        <f t="shared" si="6"/>
        <v>553333.2830759622</v>
      </c>
      <c r="O41">
        <f t="shared" si="7"/>
        <v>225475.88455739152</v>
      </c>
      <c r="P41">
        <f t="shared" si="8"/>
        <v>327857.3985185707</v>
      </c>
      <c r="Q41">
        <f t="shared" si="9"/>
        <v>17220.216315573274</v>
      </c>
      <c r="R41">
        <f t="shared" si="15"/>
        <v>7245.5893418161795</v>
      </c>
      <c r="S41">
        <f t="shared" si="16"/>
        <v>0</v>
      </c>
      <c r="T41">
        <f t="shared" si="17"/>
        <v>365007.6724301902</v>
      </c>
      <c r="U41">
        <f t="shared" si="10"/>
        <v>107490473763.36488</v>
      </c>
    </row>
    <row r="42" spans="1:21" ht="12.75">
      <c r="A42">
        <f t="shared" si="11"/>
        <v>135</v>
      </c>
      <c r="B42" s="1">
        <f t="shared" si="0"/>
        <v>0.8314329103954733</v>
      </c>
      <c r="C42" s="1">
        <f t="shared" si="5"/>
        <v>58.045975371088964</v>
      </c>
      <c r="D42">
        <f t="shared" si="1"/>
        <v>70.96650825357776</v>
      </c>
      <c r="E42">
        <f t="shared" si="2"/>
        <v>176.58877652193257</v>
      </c>
      <c r="F42">
        <f t="shared" si="3"/>
        <v>81.344613643596</v>
      </c>
      <c r="G42">
        <f t="shared" si="4"/>
        <v>129.13911516576613</v>
      </c>
      <c r="I42">
        <f t="shared" si="12"/>
        <v>120.04278870113816</v>
      </c>
      <c r="J42">
        <f t="shared" si="13"/>
        <v>3.147777956051309</v>
      </c>
      <c r="K42">
        <f t="shared" si="14"/>
        <v>-1.3882651444686085</v>
      </c>
      <c r="L42" s="1"/>
      <c r="M42" s="12">
        <v>14336</v>
      </c>
      <c r="N42">
        <f t="shared" si="6"/>
        <v>469795.33384981006</v>
      </c>
      <c r="O42">
        <f t="shared" si="7"/>
        <v>208128.29907807845</v>
      </c>
      <c r="P42">
        <f t="shared" si="8"/>
        <v>261667.03477173162</v>
      </c>
      <c r="Q42">
        <f t="shared" si="9"/>
        <v>17683.914545080763</v>
      </c>
      <c r="R42">
        <f t="shared" si="15"/>
        <v>6446.824130546193</v>
      </c>
      <c r="S42">
        <f t="shared" si="16"/>
        <v>0</v>
      </c>
      <c r="T42">
        <f t="shared" si="17"/>
        <v>294762.21664515114</v>
      </c>
      <c r="U42">
        <f t="shared" si="10"/>
        <v>68469637086.230606</v>
      </c>
    </row>
    <row r="43" spans="1:21" ht="12.75">
      <c r="A43">
        <f t="shared" si="11"/>
        <v>140</v>
      </c>
      <c r="B43" s="1">
        <f t="shared" si="0"/>
        <v>0.8651251863793675</v>
      </c>
      <c r="C43" s="1">
        <f t="shared" si="5"/>
        <v>53.33286572816177</v>
      </c>
      <c r="D43">
        <f t="shared" si="1"/>
        <v>70.28116645336907</v>
      </c>
      <c r="E43">
        <f t="shared" si="2"/>
        <v>175.67122567053184</v>
      </c>
      <c r="F43">
        <f t="shared" si="3"/>
        <v>82.68463376726649</v>
      </c>
      <c r="G43">
        <f t="shared" si="4"/>
        <v>134.79379348922794</v>
      </c>
      <c r="I43">
        <f t="shared" si="12"/>
        <v>124.9072999758618</v>
      </c>
      <c r="J43">
        <f t="shared" si="13"/>
        <v>2.918706764834184</v>
      </c>
      <c r="K43">
        <f t="shared" si="14"/>
        <v>-1.6493785519053765</v>
      </c>
      <c r="L43" s="1"/>
      <c r="M43" s="12">
        <v>13360</v>
      </c>
      <c r="N43">
        <f t="shared" si="6"/>
        <v>379596.88515165437</v>
      </c>
      <c r="O43">
        <f t="shared" si="7"/>
        <v>189196.73157147825</v>
      </c>
      <c r="P43">
        <f t="shared" si="8"/>
        <v>190400.15358017612</v>
      </c>
      <c r="Q43">
        <f t="shared" si="9"/>
        <v>18340.040783362165</v>
      </c>
      <c r="R43">
        <f t="shared" si="15"/>
        <v>5613.64601103108</v>
      </c>
      <c r="S43">
        <f t="shared" si="16"/>
        <v>0</v>
      </c>
      <c r="T43">
        <f t="shared" si="17"/>
        <v>226033.59417595388</v>
      </c>
      <c r="U43">
        <f t="shared" si="10"/>
        <v>36252218483.35465</v>
      </c>
    </row>
    <row r="44" spans="1:21" ht="12.75">
      <c r="A44">
        <f t="shared" si="11"/>
        <v>145</v>
      </c>
      <c r="B44" s="1">
        <f t="shared" si="0"/>
        <v>0.895772393408024</v>
      </c>
      <c r="C44" s="1">
        <f t="shared" si="5"/>
        <v>47.97775531218437</v>
      </c>
      <c r="D44">
        <f t="shared" si="1"/>
        <v>69.75475541279046</v>
      </c>
      <c r="E44">
        <f t="shared" si="2"/>
        <v>174.96586379025584</v>
      </c>
      <c r="F44">
        <f t="shared" si="3"/>
        <v>83.90354442121954</v>
      </c>
      <c r="G44">
        <f t="shared" si="4"/>
        <v>140.48629310260236</v>
      </c>
      <c r="I44">
        <f t="shared" si="12"/>
        <v>129.33216234493872</v>
      </c>
      <c r="J44">
        <f t="shared" si="13"/>
        <v>2.654917421446152</v>
      </c>
      <c r="K44">
        <f t="shared" si="14"/>
        <v>-1.8993592467636997</v>
      </c>
      <c r="L44" s="1"/>
      <c r="M44" s="12">
        <v>13005</v>
      </c>
      <c r="N44">
        <f t="shared" si="6"/>
        <v>324449.7622096681</v>
      </c>
      <c r="O44">
        <f t="shared" si="7"/>
        <v>168825.262697509</v>
      </c>
      <c r="P44">
        <f t="shared" si="8"/>
        <v>155624.49951215912</v>
      </c>
      <c r="Q44">
        <f t="shared" si="9"/>
        <v>19265.724340547837</v>
      </c>
      <c r="R44">
        <f t="shared" si="15"/>
        <v>4860.895681696374</v>
      </c>
      <c r="S44">
        <f t="shared" si="16"/>
        <v>0</v>
      </c>
      <c r="T44">
        <f t="shared" si="17"/>
        <v>173012.3265461676</v>
      </c>
      <c r="U44">
        <f t="shared" si="10"/>
        <v>24218984848.410015</v>
      </c>
    </row>
    <row r="45" spans="1:21" ht="12.75">
      <c r="A45">
        <f t="shared" si="11"/>
        <v>150</v>
      </c>
      <c r="B45" s="1">
        <f t="shared" si="0"/>
        <v>0.9230030494203035</v>
      </c>
      <c r="C45" s="1">
        <f t="shared" si="5"/>
        <v>42.038454527767065</v>
      </c>
      <c r="D45">
        <f t="shared" si="1"/>
        <v>69.39284624044109</v>
      </c>
      <c r="E45">
        <f t="shared" si="2"/>
        <v>174.48065848065312</v>
      </c>
      <c r="F45">
        <f t="shared" si="3"/>
        <v>84.9865709004828</v>
      </c>
      <c r="G45">
        <f t="shared" si="4"/>
        <v>146.20741040951626</v>
      </c>
      <c r="I45">
        <f t="shared" si="12"/>
        <v>133.26374100270513</v>
      </c>
      <c r="J45">
        <f t="shared" si="13"/>
        <v>2.3589471946598453</v>
      </c>
      <c r="K45">
        <f t="shared" si="14"/>
        <v>-2.131070875696436</v>
      </c>
      <c r="L45" s="1"/>
      <c r="M45" s="12">
        <v>12288</v>
      </c>
      <c r="N45">
        <f t="shared" si="6"/>
        <v>254143.64500143394</v>
      </c>
      <c r="O45">
        <f t="shared" si="7"/>
        <v>147168.9316349311</v>
      </c>
      <c r="P45">
        <f t="shared" si="8"/>
        <v>106974.71336650284</v>
      </c>
      <c r="Q45">
        <f t="shared" si="9"/>
        <v>20590.52421394227</v>
      </c>
      <c r="R45">
        <f t="shared" si="15"/>
        <v>4143.392457953573</v>
      </c>
      <c r="S45">
        <f t="shared" si="16"/>
        <v>0</v>
      </c>
      <c r="T45">
        <f t="shared" si="17"/>
        <v>131299.60643933096</v>
      </c>
      <c r="U45">
        <f t="shared" si="10"/>
        <v>11443589299.845442</v>
      </c>
    </row>
    <row r="46" spans="1:21" ht="12.75">
      <c r="A46">
        <f t="shared" si="11"/>
        <v>155</v>
      </c>
      <c r="B46" s="1">
        <f t="shared" si="0"/>
        <v>0.9464859916401956</v>
      </c>
      <c r="C46" s="1">
        <f t="shared" si="5"/>
        <v>35.5902337188091</v>
      </c>
      <c r="D46">
        <f t="shared" si="1"/>
        <v>69.19934489718516</v>
      </c>
      <c r="E46">
        <f t="shared" si="2"/>
        <v>174.22115258359398</v>
      </c>
      <c r="F46">
        <f t="shared" si="3"/>
        <v>85.92054209176382</v>
      </c>
      <c r="G46">
        <f t="shared" si="4"/>
        <v>151.94788025754133</v>
      </c>
      <c r="I46">
        <f t="shared" si="12"/>
        <v>136.65422246637814</v>
      </c>
      <c r="J46">
        <f t="shared" si="13"/>
        <v>2.0342888782038075</v>
      </c>
      <c r="K46">
        <f t="shared" si="14"/>
        <v>-2.337633383818824</v>
      </c>
      <c r="L46" s="1"/>
      <c r="M46" s="12">
        <v>11367</v>
      </c>
      <c r="N46">
        <f t="shared" si="6"/>
        <v>182382.29505297216</v>
      </c>
      <c r="O46">
        <f t="shared" si="7"/>
        <v>124392.55613958086</v>
      </c>
      <c r="P46">
        <f t="shared" si="8"/>
        <v>57989.738913391295</v>
      </c>
      <c r="Q46">
        <f t="shared" si="9"/>
        <v>22550.131423951963</v>
      </c>
      <c r="R46">
        <f t="shared" si="15"/>
        <v>3341.743292632713</v>
      </c>
      <c r="S46">
        <f t="shared" si="16"/>
        <v>0</v>
      </c>
      <c r="T46">
        <f t="shared" si="17"/>
        <v>82482.22613994707</v>
      </c>
      <c r="U46">
        <f t="shared" si="10"/>
        <v>3362809819.2432885</v>
      </c>
    </row>
    <row r="47" spans="1:21" ht="12.75">
      <c r="A47">
        <f t="shared" si="11"/>
        <v>160</v>
      </c>
      <c r="B47" s="1">
        <f aca="true" t="shared" si="18" ref="B47:B78">($B$11-F47)/($B$11-$B$12)</f>
        <v>0.9659401883305098</v>
      </c>
      <c r="C47" s="1">
        <f t="shared" si="5"/>
        <v>28.723166240656663</v>
      </c>
      <c r="D47">
        <f t="shared" si="1"/>
        <v>69.17636588988674</v>
      </c>
      <c r="E47">
        <f t="shared" si="2"/>
        <v>174.19033167168678</v>
      </c>
      <c r="F47">
        <f aca="true" t="shared" si="19" ref="F47:F78">DEGREES(ASIN($B$4*SIN(RADIANS(D47))/E47))+DEGREES(ASIN($B$8*SIN(RADIANS(A47-$B$10))/E47))</f>
        <v>86.69428070969887</v>
      </c>
      <c r="G47">
        <f aca="true" t="shared" si="20" ref="G47:G78">D47+F47+(A47-$B$10)</f>
        <v>157.69863986817796</v>
      </c>
      <c r="I47">
        <f t="shared" si="12"/>
        <v>139.46303120301445</v>
      </c>
      <c r="J47">
        <f t="shared" si="13"/>
        <v>1.6852852419817852</v>
      </c>
      <c r="K47">
        <f t="shared" si="14"/>
        <v>-2.5129266978664755</v>
      </c>
      <c r="L47" s="1"/>
      <c r="M47" s="12">
        <v>10445</v>
      </c>
      <c r="N47">
        <f t="shared" si="6"/>
        <v>120709.22101902461</v>
      </c>
      <c r="O47">
        <f t="shared" si="7"/>
        <v>100669.47818172941</v>
      </c>
      <c r="P47">
        <f t="shared" si="8"/>
        <v>20039.742837295198</v>
      </c>
      <c r="Q47">
        <f t="shared" si="9"/>
        <v>25623.001391281785</v>
      </c>
      <c r="R47">
        <f t="shared" si="15"/>
        <v>2552.739006812965</v>
      </c>
      <c r="S47">
        <f t="shared" si="16"/>
        <v>0</v>
      </c>
      <c r="T47">
        <f t="shared" si="17"/>
        <v>39014.74087534325</v>
      </c>
      <c r="U47">
        <f t="shared" si="10"/>
        <v>401591292.9849242</v>
      </c>
    </row>
    <row r="48" spans="1:21" ht="12.75">
      <c r="A48">
        <f t="shared" si="11"/>
        <v>165</v>
      </c>
      <c r="B48" s="1">
        <f t="shared" si="18"/>
        <v>0.9811426001370671</v>
      </c>
      <c r="C48" s="1">
        <f t="shared" si="5"/>
        <v>21.538380552092253</v>
      </c>
      <c r="D48">
        <f t="shared" si="1"/>
        <v>69.32416155234134</v>
      </c>
      <c r="E48">
        <f t="shared" si="2"/>
        <v>174.38855131645624</v>
      </c>
      <c r="F48">
        <f t="shared" si="19"/>
        <v>87.29891596078285</v>
      </c>
      <c r="G48">
        <f t="shared" si="20"/>
        <v>163.45107078171657</v>
      </c>
      <c r="I48">
        <f t="shared" si="12"/>
        <v>141.65796465516058</v>
      </c>
      <c r="J48">
        <f t="shared" si="13"/>
        <v>1.3169600712876788</v>
      </c>
      <c r="K48">
        <f t="shared" si="14"/>
        <v>-2.652047310890002</v>
      </c>
      <c r="L48" s="1"/>
      <c r="M48" s="12">
        <v>9728</v>
      </c>
      <c r="N48">
        <f t="shared" si="6"/>
        <v>75072.11156783978</v>
      </c>
      <c r="O48">
        <f t="shared" si="7"/>
        <v>76180.24470902214</v>
      </c>
      <c r="P48">
        <f t="shared" si="8"/>
        <v>-1108.133141182363</v>
      </c>
      <c r="Q48">
        <f t="shared" si="9"/>
        <v>30500</v>
      </c>
      <c r="R48">
        <f t="shared" si="15"/>
        <v>1844.9330220893291</v>
      </c>
      <c r="S48">
        <f t="shared" si="16"/>
        <v>9465.804848056418</v>
      </c>
      <c r="T48">
        <f t="shared" si="17"/>
        <v>0</v>
      </c>
      <c r="U48">
        <f t="shared" si="10"/>
        <v>1227959.0585866908</v>
      </c>
    </row>
    <row r="49" spans="1:21" ht="12.75">
      <c r="A49">
        <f t="shared" si="11"/>
        <v>170</v>
      </c>
      <c r="B49" s="1">
        <f t="shared" si="18"/>
        <v>0.9919335347479115</v>
      </c>
      <c r="C49" s="1">
        <f t="shared" si="5"/>
        <v>14.143583619272539</v>
      </c>
      <c r="D49">
        <f t="shared" si="1"/>
        <v>69.64111349523601</v>
      </c>
      <c r="E49">
        <f t="shared" si="2"/>
        <v>174.81352836258836</v>
      </c>
      <c r="F49">
        <f t="shared" si="19"/>
        <v>87.72809651061142</v>
      </c>
      <c r="G49">
        <f t="shared" si="20"/>
        <v>169.1972032744398</v>
      </c>
      <c r="I49">
        <f t="shared" si="12"/>
        <v>143.21596634980273</v>
      </c>
      <c r="J49">
        <f t="shared" si="13"/>
        <v>0.9348010167852863</v>
      </c>
      <c r="K49">
        <f t="shared" si="14"/>
        <v>-2.7516552586275713</v>
      </c>
      <c r="L49" s="1"/>
      <c r="M49" s="12">
        <v>8909</v>
      </c>
      <c r="N49">
        <f t="shared" si="6"/>
        <v>37713.922295124714</v>
      </c>
      <c r="O49">
        <f t="shared" si="7"/>
        <v>51111.23357518967</v>
      </c>
      <c r="P49">
        <f t="shared" si="8"/>
        <v>-13397.311280064954</v>
      </c>
      <c r="Q49">
        <f t="shared" si="9"/>
        <v>30500</v>
      </c>
      <c r="R49">
        <f t="shared" si="15"/>
        <v>1209.8532326269014</v>
      </c>
      <c r="S49">
        <f t="shared" si="16"/>
        <v>-7252.722210623659</v>
      </c>
      <c r="T49">
        <f t="shared" si="17"/>
        <v>0</v>
      </c>
      <c r="U49">
        <f t="shared" si="10"/>
        <v>179487949.53495565</v>
      </c>
    </row>
    <row r="50" spans="1:21" ht="12.75">
      <c r="A50">
        <f t="shared" si="11"/>
        <v>175</v>
      </c>
      <c r="B50" s="1">
        <f t="shared" si="18"/>
        <v>0.9982191890658059</v>
      </c>
      <c r="C50" s="1">
        <f t="shared" si="5"/>
        <v>6.648310393251123</v>
      </c>
      <c r="D50">
        <f t="shared" si="1"/>
        <v>70.12378703282108</v>
      </c>
      <c r="E50">
        <f t="shared" si="2"/>
        <v>175.46039672083205</v>
      </c>
      <c r="F50">
        <f t="shared" si="19"/>
        <v>87.97809159198975</v>
      </c>
      <c r="G50">
        <f t="shared" si="20"/>
        <v>174.9298718934032</v>
      </c>
      <c r="I50">
        <f t="shared" si="12"/>
        <v>144.12349293877605</v>
      </c>
      <c r="J50">
        <f t="shared" si="13"/>
        <v>0.5445159533839956</v>
      </c>
      <c r="K50">
        <f t="shared" si="14"/>
        <v>-2.810164863083816</v>
      </c>
      <c r="L50" s="1"/>
      <c r="M50" s="12">
        <v>7987</v>
      </c>
      <c r="N50">
        <f t="shared" si="6"/>
        <v>11598.004074268161</v>
      </c>
      <c r="O50">
        <f t="shared" si="7"/>
        <v>25653.235092043506</v>
      </c>
      <c r="P50">
        <f t="shared" si="8"/>
        <v>-14055.231017775344</v>
      </c>
      <c r="Q50">
        <f t="shared" si="9"/>
        <v>30500</v>
      </c>
      <c r="R50">
        <f t="shared" si="15"/>
        <v>638.8987186372215</v>
      </c>
      <c r="S50">
        <f t="shared" si="16"/>
        <v>-13726.27114892015</v>
      </c>
      <c r="T50">
        <f t="shared" si="17"/>
        <v>0</v>
      </c>
      <c r="U50">
        <f t="shared" si="10"/>
        <v>197549518.96303415</v>
      </c>
    </row>
    <row r="51" spans="1:21" ht="12.75">
      <c r="A51">
        <f t="shared" si="11"/>
        <v>180</v>
      </c>
      <c r="B51" s="1">
        <f t="shared" si="18"/>
        <v>0.9999713566882708</v>
      </c>
      <c r="C51" s="1">
        <f t="shared" si="5"/>
        <v>-0.8406303967165653</v>
      </c>
      <c r="D51">
        <f t="shared" si="1"/>
        <v>70.76704348869654</v>
      </c>
      <c r="E51">
        <f t="shared" si="2"/>
        <v>176.3218244225237</v>
      </c>
      <c r="F51">
        <f t="shared" si="19"/>
        <v>88.04777937073374</v>
      </c>
      <c r="G51">
        <f t="shared" si="20"/>
        <v>180.64281612802264</v>
      </c>
      <c r="I51">
        <f t="shared" si="12"/>
        <v>144.37647196455512</v>
      </c>
      <c r="J51">
        <f t="shared" si="13"/>
        <v>0.15178741546744162</v>
      </c>
      <c r="K51">
        <f t="shared" si="14"/>
        <v>-2.8277585833425225</v>
      </c>
      <c r="L51" s="1"/>
      <c r="M51" s="12">
        <v>7168</v>
      </c>
      <c r="N51">
        <f t="shared" si="6"/>
        <v>-778.0067946827687</v>
      </c>
      <c r="O51">
        <f t="shared" si="7"/>
        <v>3.606075784061764E-11</v>
      </c>
      <c r="P51">
        <f t="shared" si="8"/>
        <v>-778.0067946828048</v>
      </c>
      <c r="Q51">
        <f t="shared" si="9"/>
        <v>-536207.5531311037</v>
      </c>
      <c r="R51">
        <f t="shared" si="15"/>
        <v>159.74571398674152</v>
      </c>
      <c r="S51">
        <f t="shared" si="16"/>
        <v>-7416.618906229074</v>
      </c>
      <c r="T51">
        <f t="shared" si="17"/>
        <v>0</v>
      </c>
      <c r="U51">
        <f t="shared" si="10"/>
        <v>605294.5725726119</v>
      </c>
    </row>
    <row r="52" spans="1:21" ht="12.75">
      <c r="A52">
        <f t="shared" si="11"/>
        <v>185</v>
      </c>
      <c r="B52" s="1">
        <f t="shared" si="18"/>
        <v>0.9972245477500672</v>
      </c>
      <c r="C52" s="1">
        <f t="shared" si="5"/>
        <v>-8.22310506949237</v>
      </c>
      <c r="D52">
        <f t="shared" si="1"/>
        <v>71.56420019630029</v>
      </c>
      <c r="E52">
        <f t="shared" si="2"/>
        <v>177.38818526157544</v>
      </c>
      <c r="F52">
        <f t="shared" si="19"/>
        <v>87.93853239511148</v>
      </c>
      <c r="G52">
        <f t="shared" si="20"/>
        <v>186.33072586000412</v>
      </c>
      <c r="I52">
        <f t="shared" si="12"/>
        <v>143.97988602136184</v>
      </c>
      <c r="J52">
        <f t="shared" si="13"/>
        <v>-0.23795156591597222</v>
      </c>
      <c r="K52">
        <f t="shared" si="14"/>
        <v>-2.8062329152771905</v>
      </c>
      <c r="L52" s="1"/>
      <c r="M52" s="12">
        <v>6451</v>
      </c>
      <c r="N52">
        <f t="shared" si="6"/>
        <v>-1714.5502994094438</v>
      </c>
      <c r="O52">
        <f t="shared" si="7"/>
        <v>-25653.235092043433</v>
      </c>
      <c r="P52">
        <f t="shared" si="8"/>
        <v>23938.68479263399</v>
      </c>
      <c r="Q52">
        <f t="shared" si="9"/>
        <v>-46091.35614844675</v>
      </c>
      <c r="R52">
        <f t="shared" si="15"/>
        <v>-225.04599834789065</v>
      </c>
      <c r="S52">
        <f t="shared" si="16"/>
        <v>0</v>
      </c>
      <c r="T52">
        <f t="shared" si="17"/>
        <v>11580.338998975592</v>
      </c>
      <c r="U52">
        <f t="shared" si="10"/>
        <v>573060629.6010859</v>
      </c>
    </row>
    <row r="53" spans="1:21" ht="12.75">
      <c r="A53">
        <f t="shared" si="11"/>
        <v>190</v>
      </c>
      <c r="B53" s="1">
        <f t="shared" si="18"/>
        <v>0.9900709816764509</v>
      </c>
      <c r="C53" s="1">
        <f t="shared" si="5"/>
        <v>-15.408708355925665</v>
      </c>
      <c r="D53">
        <f t="shared" si="1"/>
        <v>72.50722448994662</v>
      </c>
      <c r="E53">
        <f t="shared" si="2"/>
        <v>178.64777563395623</v>
      </c>
      <c r="F53">
        <f t="shared" si="19"/>
        <v>87.65401844600235</v>
      </c>
      <c r="G53">
        <f t="shared" si="20"/>
        <v>191.98923620454133</v>
      </c>
      <c r="I53">
        <f t="shared" si="12"/>
        <v>142.9470498058381</v>
      </c>
      <c r="J53">
        <f t="shared" si="13"/>
        <v>-0.619701729314238</v>
      </c>
      <c r="K53">
        <f t="shared" si="14"/>
        <v>-2.74871112491251</v>
      </c>
      <c r="L53" s="1"/>
      <c r="M53" s="12">
        <v>5837</v>
      </c>
      <c r="N53">
        <f t="shared" si="6"/>
        <v>6248.169603494421</v>
      </c>
      <c r="O53">
        <f t="shared" si="7"/>
        <v>-51111.233575189726</v>
      </c>
      <c r="P53">
        <f t="shared" si="8"/>
        <v>57359.403178684144</v>
      </c>
      <c r="Q53">
        <f t="shared" si="9"/>
        <v>-20034.12349803235</v>
      </c>
      <c r="R53">
        <f t="shared" si="15"/>
        <v>-528.8121423481498</v>
      </c>
      <c r="S53">
        <f t="shared" si="16"/>
        <v>0</v>
      </c>
      <c r="T53">
        <f t="shared" si="17"/>
        <v>40649.04398565907</v>
      </c>
      <c r="U53">
        <f t="shared" si="10"/>
        <v>3290101133.0148406</v>
      </c>
    </row>
    <row r="54" spans="1:21" ht="12.75">
      <c r="A54">
        <f t="shared" si="11"/>
        <v>195</v>
      </c>
      <c r="B54" s="1">
        <f t="shared" si="18"/>
        <v>0.9786540449903265</v>
      </c>
      <c r="C54" s="1">
        <f t="shared" si="5"/>
        <v>-22.318777776963906</v>
      </c>
      <c r="D54">
        <f t="shared" si="1"/>
        <v>73.5869464129511</v>
      </c>
      <c r="E54">
        <f t="shared" si="2"/>
        <v>180.08706540459903</v>
      </c>
      <c r="F54">
        <f t="shared" si="19"/>
        <v>87.1999403386821</v>
      </c>
      <c r="G54">
        <f t="shared" si="20"/>
        <v>197.61488002022554</v>
      </c>
      <c r="I54">
        <f t="shared" si="12"/>
        <v>141.29866555126867</v>
      </c>
      <c r="J54">
        <f t="shared" si="13"/>
        <v>-0.9890305527416614</v>
      </c>
      <c r="K54">
        <f t="shared" si="14"/>
        <v>-2.659273899633434</v>
      </c>
      <c r="L54" s="1"/>
      <c r="M54" s="12">
        <v>5120</v>
      </c>
      <c r="N54">
        <f t="shared" si="6"/>
        <v>25052.738779530857</v>
      </c>
      <c r="O54">
        <f t="shared" si="7"/>
        <v>-76180.24470902208</v>
      </c>
      <c r="P54">
        <f t="shared" si="8"/>
        <v>101232.98348855294</v>
      </c>
      <c r="Q54">
        <f t="shared" si="9"/>
        <v>-10775.450013289534</v>
      </c>
      <c r="R54">
        <f t="shared" si="15"/>
        <v>-752.5560948882212</v>
      </c>
      <c r="S54">
        <f t="shared" si="16"/>
        <v>0</v>
      </c>
      <c r="T54">
        <f t="shared" si="17"/>
        <v>79296.19333361855</v>
      </c>
      <c r="U54">
        <f t="shared" si="10"/>
        <v>10248116945.993633</v>
      </c>
    </row>
    <row r="55" spans="1:21" ht="12.75">
      <c r="A55">
        <f t="shared" si="11"/>
        <v>200</v>
      </c>
      <c r="B55" s="1">
        <f t="shared" si="18"/>
        <v>0.9631608490892346</v>
      </c>
      <c r="C55" s="1">
        <f t="shared" si="5"/>
        <v>-28.887367979992664</v>
      </c>
      <c r="D55">
        <f t="shared" si="1"/>
        <v>74.79327522288307</v>
      </c>
      <c r="E55">
        <f t="shared" si="2"/>
        <v>181.69097087883765</v>
      </c>
      <c r="F55">
        <f t="shared" si="19"/>
        <v>86.58373992831633</v>
      </c>
      <c r="G55">
        <f t="shared" si="20"/>
        <v>203.20500841979177</v>
      </c>
      <c r="I55">
        <f t="shared" si="12"/>
        <v>139.06174851490135</v>
      </c>
      <c r="J55">
        <f t="shared" si="13"/>
        <v>-1.3421502218203898</v>
      </c>
      <c r="K55">
        <f t="shared" si="14"/>
        <v>-2.5425633198996405</v>
      </c>
      <c r="L55" s="1"/>
      <c r="M55" s="12">
        <v>5325</v>
      </c>
      <c r="N55">
        <f t="shared" si="6"/>
        <v>26504.044572171326</v>
      </c>
      <c r="O55">
        <f t="shared" si="7"/>
        <v>-100669.47818172936</v>
      </c>
      <c r="P55">
        <f t="shared" si="8"/>
        <v>127173.52275390067</v>
      </c>
      <c r="Q55">
        <f t="shared" si="9"/>
        <v>-6058.05426350521</v>
      </c>
      <c r="R55">
        <f t="shared" si="15"/>
        <v>-973.5249352023592</v>
      </c>
      <c r="S55">
        <f t="shared" si="16"/>
        <v>0</v>
      </c>
      <c r="T55">
        <f t="shared" si="17"/>
        <v>114203.25312122681</v>
      </c>
      <c r="U55">
        <f t="shared" si="10"/>
        <v>16173104889.636892</v>
      </c>
    </row>
    <row r="56" spans="1:21" ht="12.75">
      <c r="A56">
        <f t="shared" si="11"/>
        <v>205</v>
      </c>
      <c r="B56" s="1">
        <f t="shared" si="18"/>
        <v>0.9438144872491439</v>
      </c>
      <c r="C56" s="1">
        <f t="shared" si="5"/>
        <v>-35.061297881434236</v>
      </c>
      <c r="D56">
        <f t="shared" si="1"/>
        <v>76.11540668361624</v>
      </c>
      <c r="E56">
        <f t="shared" si="2"/>
        <v>183.44313818047988</v>
      </c>
      <c r="F56">
        <f t="shared" si="19"/>
        <v>85.81429015300508</v>
      </c>
      <c r="G56">
        <f t="shared" si="20"/>
        <v>208.75769010521367</v>
      </c>
      <c r="I56">
        <f t="shared" si="12"/>
        <v>136.26850903945032</v>
      </c>
      <c r="J56">
        <f t="shared" si="13"/>
        <v>-1.6759436852706189</v>
      </c>
      <c r="K56">
        <f t="shared" si="14"/>
        <v>-2.4034090732045774</v>
      </c>
      <c r="L56" s="1"/>
      <c r="M56" s="12">
        <v>5427</v>
      </c>
      <c r="N56">
        <f t="shared" si="6"/>
        <v>28592.348177118063</v>
      </c>
      <c r="O56">
        <f t="shared" si="7"/>
        <v>-124392.5561395808</v>
      </c>
      <c r="P56">
        <f t="shared" si="8"/>
        <v>152984.90431669887</v>
      </c>
      <c r="Q56">
        <f t="shared" si="9"/>
        <v>-3215.4380725436476</v>
      </c>
      <c r="R56">
        <f t="shared" si="15"/>
        <v>-1251.371285002062</v>
      </c>
      <c r="S56">
        <f t="shared" si="16"/>
        <v>0</v>
      </c>
      <c r="T56">
        <f t="shared" si="17"/>
        <v>140079.21353529976</v>
      </c>
      <c r="U56">
        <f t="shared" si="10"/>
        <v>23404380948.78951</v>
      </c>
    </row>
    <row r="57" spans="1:21" ht="12.75">
      <c r="A57">
        <f t="shared" si="11"/>
        <v>210</v>
      </c>
      <c r="B57" s="1">
        <f t="shared" si="18"/>
        <v>0.9208664977581055</v>
      </c>
      <c r="C57" s="1">
        <f t="shared" si="5"/>
        <v>-40.799456087138424</v>
      </c>
      <c r="D57">
        <f t="shared" si="1"/>
        <v>77.54201103987543</v>
      </c>
      <c r="E57">
        <f t="shared" si="2"/>
        <v>185.32622637889736</v>
      </c>
      <c r="F57">
        <f t="shared" si="19"/>
        <v>84.90159527509093</v>
      </c>
      <c r="G57">
        <f t="shared" si="20"/>
        <v>214.27159958355873</v>
      </c>
      <c r="I57">
        <f t="shared" si="12"/>
        <v>132.95526437575478</v>
      </c>
      <c r="J57">
        <f t="shared" si="13"/>
        <v>-1.9879467982173251</v>
      </c>
      <c r="K57">
        <f t="shared" si="14"/>
        <v>-2.2465122737072334</v>
      </c>
      <c r="L57" s="1"/>
      <c r="M57" s="12">
        <v>5632</v>
      </c>
      <c r="N57">
        <f t="shared" si="6"/>
        <v>24907.904743373627</v>
      </c>
      <c r="O57">
        <f t="shared" si="7"/>
        <v>-147168.93163493116</v>
      </c>
      <c r="P57">
        <f t="shared" si="8"/>
        <v>172076.83637830478</v>
      </c>
      <c r="Q57">
        <f t="shared" si="9"/>
        <v>-1326.9938408811013</v>
      </c>
      <c r="R57">
        <f t="shared" si="15"/>
        <v>-1526.7155306587083</v>
      </c>
      <c r="S57">
        <f t="shared" si="16"/>
        <v>0</v>
      </c>
      <c r="T57">
        <f t="shared" si="17"/>
        <v>162530.87034750183</v>
      </c>
      <c r="U57">
        <f t="shared" si="10"/>
        <v>29610437617.965878</v>
      </c>
    </row>
    <row r="58" spans="1:21" ht="12.75">
      <c r="A58">
        <f t="shared" si="11"/>
        <v>215</v>
      </c>
      <c r="B58" s="1">
        <f t="shared" si="18"/>
        <v>0.8945899168117595</v>
      </c>
      <c r="C58" s="1">
        <f t="shared" si="5"/>
        <v>-46.071580415994084</v>
      </c>
      <c r="D58">
        <f t="shared" si="1"/>
        <v>79.06139487999742</v>
      </c>
      <c r="E58">
        <f t="shared" si="2"/>
        <v>187.32218133084098</v>
      </c>
      <c r="F58">
        <f t="shared" si="19"/>
        <v>83.85651457866686</v>
      </c>
      <c r="G58">
        <f t="shared" si="20"/>
        <v>219.74590272725663</v>
      </c>
      <c r="I58">
        <f t="shared" si="12"/>
        <v>129.1614356556116</v>
      </c>
      <c r="J58">
        <f t="shared" si="13"/>
        <v>-2.276297232085909</v>
      </c>
      <c r="K58">
        <f t="shared" si="14"/>
        <v>-2.0762061721006893</v>
      </c>
      <c r="L58" s="1"/>
      <c r="M58" s="12">
        <v>5632</v>
      </c>
      <c r="N58">
        <f t="shared" si="6"/>
        <v>28126.515557642688</v>
      </c>
      <c r="O58">
        <f t="shared" si="7"/>
        <v>-168825.26269750908</v>
      </c>
      <c r="P58">
        <f t="shared" si="8"/>
        <v>196951.77825515176</v>
      </c>
      <c r="Q58">
        <f t="shared" si="9"/>
        <v>9.266431804067906</v>
      </c>
      <c r="R58">
        <f t="shared" si="15"/>
        <v>-1780.5702793205335</v>
      </c>
      <c r="S58">
        <f t="shared" si="16"/>
        <v>0</v>
      </c>
      <c r="T58">
        <f t="shared" si="17"/>
        <v>184514.3073167283</v>
      </c>
      <c r="U58">
        <f t="shared" si="10"/>
        <v>38790002957.86647</v>
      </c>
    </row>
    <row r="59" spans="1:21" ht="12.75">
      <c r="A59">
        <f t="shared" si="11"/>
        <v>220</v>
      </c>
      <c r="B59" s="1">
        <f t="shared" si="18"/>
        <v>0.8652731742183305</v>
      </c>
      <c r="C59" s="1">
        <f t="shared" si="5"/>
        <v>-50.856722919089705</v>
      </c>
      <c r="D59">
        <f t="shared" si="1"/>
        <v>80.66163330713769</v>
      </c>
      <c r="E59">
        <f t="shared" si="2"/>
        <v>189.41249315422328</v>
      </c>
      <c r="F59">
        <f t="shared" si="19"/>
        <v>82.69051958757628</v>
      </c>
      <c r="G59">
        <f t="shared" si="20"/>
        <v>225.18014616330635</v>
      </c>
      <c r="I59">
        <f t="shared" si="12"/>
        <v>124.92866654995436</v>
      </c>
      <c r="J59">
        <f t="shared" si="13"/>
        <v>-2.539661463394344</v>
      </c>
      <c r="K59">
        <f t="shared" si="14"/>
        <v>-1.8962983173534247</v>
      </c>
      <c r="L59" s="1"/>
      <c r="M59" s="12">
        <v>5632</v>
      </c>
      <c r="N59">
        <f t="shared" si="6"/>
        <v>31047.825915212547</v>
      </c>
      <c r="O59">
        <f t="shared" si="7"/>
        <v>-189196.7315714782</v>
      </c>
      <c r="P59">
        <f t="shared" si="8"/>
        <v>220244.55748669073</v>
      </c>
      <c r="Q59">
        <f t="shared" si="9"/>
        <v>996.3209986537395</v>
      </c>
      <c r="R59">
        <f t="shared" si="15"/>
        <v>-1986.579633588465</v>
      </c>
      <c r="S59">
        <f t="shared" si="16"/>
        <v>0</v>
      </c>
      <c r="T59">
        <f t="shared" si="17"/>
        <v>208598.16787092126</v>
      </c>
      <c r="U59">
        <f t="shared" si="10"/>
        <v>48507665102.50822</v>
      </c>
    </row>
    <row r="60" spans="1:21" ht="12.75">
      <c r="A60">
        <f t="shared" si="11"/>
        <v>225</v>
      </c>
      <c r="B60" s="1">
        <f t="shared" si="18"/>
        <v>0.8332149646976196</v>
      </c>
      <c r="C60" s="1">
        <f t="shared" si="5"/>
        <v>-55.14158410316716</v>
      </c>
      <c r="D60">
        <f t="shared" si="1"/>
        <v>82.33067161891458</v>
      </c>
      <c r="E60">
        <f t="shared" si="2"/>
        <v>191.5784322936619</v>
      </c>
      <c r="F60">
        <f t="shared" si="19"/>
        <v>81.41549008505372</v>
      </c>
      <c r="G60">
        <f t="shared" si="20"/>
        <v>230.57415497256068</v>
      </c>
      <c r="I60">
        <f t="shared" si="12"/>
        <v>120.30008278388594</v>
      </c>
      <c r="J60">
        <f t="shared" si="13"/>
        <v>-2.77715025964105</v>
      </c>
      <c r="K60">
        <f t="shared" si="14"/>
        <v>-1.7099877324855812</v>
      </c>
      <c r="L60" s="1"/>
      <c r="M60" s="12">
        <v>5632</v>
      </c>
      <c r="N60">
        <f t="shared" si="6"/>
        <v>33663.71652864709</v>
      </c>
      <c r="O60">
        <f t="shared" si="7"/>
        <v>-208128.29907807842</v>
      </c>
      <c r="P60">
        <f t="shared" si="8"/>
        <v>241792.0156067255</v>
      </c>
      <c r="Q60">
        <f t="shared" si="9"/>
        <v>1747.30956396715</v>
      </c>
      <c r="R60">
        <f t="shared" si="15"/>
        <v>-2172.3486475414434</v>
      </c>
      <c r="S60">
        <f t="shared" si="16"/>
        <v>0</v>
      </c>
      <c r="T60">
        <f t="shared" si="17"/>
        <v>231018.2865467081</v>
      </c>
      <c r="U60">
        <f t="shared" si="10"/>
        <v>58463378811.16299</v>
      </c>
    </row>
    <row r="61" spans="1:21" ht="12.75">
      <c r="A61">
        <f t="shared" si="11"/>
        <v>230</v>
      </c>
      <c r="B61" s="1">
        <f t="shared" si="18"/>
        <v>0.798720128058377</v>
      </c>
      <c r="C61" s="1">
        <f t="shared" si="5"/>
        <v>-58.91886086382</v>
      </c>
      <c r="D61">
        <f t="shared" si="1"/>
        <v>84.05639787250853</v>
      </c>
      <c r="E61">
        <f t="shared" si="2"/>
        <v>193.80126107908177</v>
      </c>
      <c r="F61">
        <f t="shared" si="19"/>
        <v>80.04355025880372</v>
      </c>
      <c r="G61">
        <f t="shared" si="20"/>
        <v>235.92794139990463</v>
      </c>
      <c r="I61">
        <f t="shared" si="12"/>
        <v>115.31969731418489</v>
      </c>
      <c r="J61">
        <f t="shared" si="13"/>
        <v>-2.988231281820629</v>
      </c>
      <c r="K61">
        <f t="shared" si="14"/>
        <v>-1.519844153459108</v>
      </c>
      <c r="L61" s="1"/>
      <c r="M61" s="12">
        <v>4915</v>
      </c>
      <c r="N61">
        <f t="shared" si="6"/>
        <v>78214.55212127755</v>
      </c>
      <c r="O61">
        <f t="shared" si="7"/>
        <v>-225475.8845573915</v>
      </c>
      <c r="P61">
        <f t="shared" si="8"/>
        <v>303690.43667866907</v>
      </c>
      <c r="Q61">
        <f t="shared" si="9"/>
        <v>2329.9268826943853</v>
      </c>
      <c r="R61">
        <f t="shared" si="15"/>
        <v>-2188.671897872373</v>
      </c>
      <c r="S61">
        <f t="shared" si="16"/>
        <v>0</v>
      </c>
      <c r="T61">
        <f t="shared" si="17"/>
        <v>272741.22614269727</v>
      </c>
      <c r="U61">
        <f t="shared" si="10"/>
        <v>92227881330.0807</v>
      </c>
    </row>
    <row r="62" spans="1:21" ht="12.75">
      <c r="A62">
        <f t="shared" si="11"/>
        <v>235</v>
      </c>
      <c r="B62" s="1">
        <f t="shared" si="18"/>
        <v>0.7620964967469415</v>
      </c>
      <c r="C62" s="1">
        <f t="shared" si="5"/>
        <v>-62.185711398535894</v>
      </c>
      <c r="D62">
        <f t="shared" si="1"/>
        <v>85.82668926187746</v>
      </c>
      <c r="E62">
        <f t="shared" si="2"/>
        <v>196.06241938520176</v>
      </c>
      <c r="F62">
        <f t="shared" si="19"/>
        <v>78.58694332068319</v>
      </c>
      <c r="G62">
        <f t="shared" si="20"/>
        <v>241.241625851153</v>
      </c>
      <c r="I62">
        <f t="shared" si="12"/>
        <v>110.0319551764628</v>
      </c>
      <c r="J62">
        <f t="shared" si="13"/>
        <v>-3.1726452826332547</v>
      </c>
      <c r="K62">
        <f t="shared" si="14"/>
        <v>-1.3278339192076742</v>
      </c>
      <c r="L62" s="1"/>
      <c r="M62" s="12">
        <v>4301</v>
      </c>
      <c r="N62">
        <f t="shared" si="6"/>
        <v>120733.30993741179</v>
      </c>
      <c r="O62">
        <f t="shared" si="7"/>
        <v>-241107.46240916135</v>
      </c>
      <c r="P62">
        <f t="shared" si="8"/>
        <v>361840.7723465731</v>
      </c>
      <c r="Q62">
        <f t="shared" si="9"/>
        <v>2786.838216918047</v>
      </c>
      <c r="R62">
        <f t="shared" si="15"/>
        <v>-2030.492980885283</v>
      </c>
      <c r="S62">
        <f t="shared" si="16"/>
        <v>0</v>
      </c>
      <c r="T62">
        <f t="shared" si="17"/>
        <v>332765.60451262107</v>
      </c>
      <c r="U62">
        <f t="shared" si="10"/>
        <v>130928744532.36456</v>
      </c>
    </row>
    <row r="63" spans="1:21" ht="12.75">
      <c r="A63">
        <f t="shared" si="11"/>
        <v>240</v>
      </c>
      <c r="B63" s="1">
        <f t="shared" si="18"/>
        <v>0.723652618338928</v>
      </c>
      <c r="C63" s="1">
        <f t="shared" si="5"/>
        <v>-64.94240339473578</v>
      </c>
      <c r="D63">
        <f t="shared" si="1"/>
        <v>87.62943622896483</v>
      </c>
      <c r="E63">
        <f t="shared" si="2"/>
        <v>198.3436843960142</v>
      </c>
      <c r="F63">
        <f t="shared" si="19"/>
        <v>77.05794092490248</v>
      </c>
      <c r="G63">
        <f t="shared" si="20"/>
        <v>246.51537042245968</v>
      </c>
      <c r="I63">
        <f t="shared" si="12"/>
        <v>104.4814046571307</v>
      </c>
      <c r="J63">
        <f t="shared" si="13"/>
        <v>-3.3303303115992637</v>
      </c>
      <c r="K63">
        <f t="shared" si="14"/>
        <v>-1.135377623660211</v>
      </c>
      <c r="L63" s="1"/>
      <c r="M63" s="12">
        <v>3891</v>
      </c>
      <c r="N63">
        <f t="shared" si="6"/>
        <v>152711.80181310754</v>
      </c>
      <c r="O63">
        <f t="shared" si="7"/>
        <v>-254904.06688733128</v>
      </c>
      <c r="P63">
        <f t="shared" si="8"/>
        <v>407615.8687004388</v>
      </c>
      <c r="Q63">
        <f t="shared" si="9"/>
        <v>3145.968575685895</v>
      </c>
      <c r="R63">
        <f t="shared" si="15"/>
        <v>-1894.5879105986921</v>
      </c>
      <c r="S63">
        <f t="shared" si="16"/>
        <v>0</v>
      </c>
      <c r="T63">
        <f t="shared" si="17"/>
        <v>384728.320523506</v>
      </c>
      <c r="U63">
        <f t="shared" si="10"/>
        <v>166150696416.4134</v>
      </c>
    </row>
    <row r="64" spans="1:21" ht="12.75">
      <c r="A64">
        <f t="shared" si="11"/>
        <v>245</v>
      </c>
      <c r="B64" s="1">
        <f t="shared" si="18"/>
        <v>0.6836962298045359</v>
      </c>
      <c r="C64" s="1">
        <f t="shared" si="5"/>
        <v>-67.19118230044468</v>
      </c>
      <c r="D64">
        <f t="shared" si="1"/>
        <v>89.45254879560622</v>
      </c>
      <c r="E64">
        <f t="shared" si="2"/>
        <v>200.62730553968726</v>
      </c>
      <c r="F64">
        <f t="shared" si="19"/>
        <v>75.46878248601054</v>
      </c>
      <c r="G64">
        <f t="shared" si="20"/>
        <v>251.7493245502091</v>
      </c>
      <c r="I64">
        <f t="shared" si="12"/>
        <v>98.71247700689713</v>
      </c>
      <c r="J64">
        <f t="shared" si="13"/>
        <v>-3.4613565901401384</v>
      </c>
      <c r="K64">
        <f t="shared" si="14"/>
        <v>-0.9434269425720004</v>
      </c>
      <c r="L64" s="1"/>
      <c r="M64" s="12">
        <v>3891</v>
      </c>
      <c r="N64">
        <f t="shared" si="6"/>
        <v>157999.7964147664</v>
      </c>
      <c r="O64">
        <f t="shared" si="7"/>
        <v>-266760.69750120497</v>
      </c>
      <c r="P64">
        <f t="shared" si="8"/>
        <v>424760.49391597137</v>
      </c>
      <c r="Q64">
        <f t="shared" si="9"/>
        <v>3426.0653908076583</v>
      </c>
      <c r="R64">
        <f t="shared" si="15"/>
        <v>-1870.5747905882333</v>
      </c>
      <c r="S64">
        <f t="shared" si="16"/>
        <v>0</v>
      </c>
      <c r="T64">
        <f t="shared" si="17"/>
        <v>416188.1813082051</v>
      </c>
      <c r="U64">
        <f t="shared" si="10"/>
        <v>180421477191.73996</v>
      </c>
    </row>
    <row r="65" spans="1:21" ht="12.75">
      <c r="A65">
        <f t="shared" si="11"/>
        <v>250</v>
      </c>
      <c r="B65" s="1">
        <f t="shared" si="18"/>
        <v>0.6425333449357554</v>
      </c>
      <c r="C65" s="1">
        <f t="shared" si="5"/>
        <v>-68.93537533650044</v>
      </c>
      <c r="D65">
        <f t="shared" si="1"/>
        <v>91.2839498747667</v>
      </c>
      <c r="E65">
        <f t="shared" si="2"/>
        <v>202.8961163989424</v>
      </c>
      <c r="F65">
        <f t="shared" si="19"/>
        <v>73.83163888375391</v>
      </c>
      <c r="G65">
        <f t="shared" si="20"/>
        <v>256.943582027113</v>
      </c>
      <c r="I65">
        <f t="shared" si="12"/>
        <v>92.76935468295405</v>
      </c>
      <c r="J65">
        <f t="shared" si="13"/>
        <v>-3.565873394365852</v>
      </c>
      <c r="K65">
        <f t="shared" si="14"/>
        <v>-0.7525510924688352</v>
      </c>
      <c r="L65" s="1"/>
      <c r="M65" s="12">
        <v>4301</v>
      </c>
      <c r="N65">
        <f t="shared" si="6"/>
        <v>133837.7554743142</v>
      </c>
      <c r="O65">
        <f t="shared" si="7"/>
        <v>-276587.11813258124</v>
      </c>
      <c r="P65">
        <f t="shared" si="8"/>
        <v>410424.87360689545</v>
      </c>
      <c r="Q65">
        <f t="shared" si="9"/>
        <v>3639.871716145236</v>
      </c>
      <c r="R65">
        <f t="shared" si="15"/>
        <v>-2028.5857532392401</v>
      </c>
      <c r="S65">
        <f t="shared" si="16"/>
        <v>0</v>
      </c>
      <c r="T65">
        <f t="shared" si="17"/>
        <v>417592.6837614334</v>
      </c>
      <c r="U65">
        <f t="shared" si="10"/>
        <v>168448576875.2361</v>
      </c>
    </row>
    <row r="66" spans="1:21" ht="12.75">
      <c r="A66">
        <f t="shared" si="11"/>
        <v>255</v>
      </c>
      <c r="B66" s="1">
        <f t="shared" si="18"/>
        <v>0.6004678112928489</v>
      </c>
      <c r="C66" s="1">
        <f t="shared" si="5"/>
        <v>-70.17873340045593</v>
      </c>
      <c r="D66">
        <f t="shared" si="1"/>
        <v>93.11156042398956</v>
      </c>
      <c r="E66">
        <f t="shared" si="2"/>
        <v>205.1336258577011</v>
      </c>
      <c r="F66">
        <f t="shared" si="19"/>
        <v>72.15859484180856</v>
      </c>
      <c r="G66">
        <f t="shared" si="20"/>
        <v>262.0981485343905</v>
      </c>
      <c r="I66">
        <f t="shared" si="12"/>
        <v>86.69590738064055</v>
      </c>
      <c r="J66">
        <f t="shared" si="13"/>
        <v>-3.6440683813880983</v>
      </c>
      <c r="K66">
        <f t="shared" si="14"/>
        <v>-0.5630264276172793</v>
      </c>
      <c r="L66" s="1"/>
      <c r="M66" s="12">
        <v>4608</v>
      </c>
      <c r="N66">
        <f t="shared" si="6"/>
        <v>114706.85902811155</v>
      </c>
      <c r="O66">
        <f t="shared" si="7"/>
        <v>-284308.5437871005</v>
      </c>
      <c r="P66">
        <f t="shared" si="8"/>
        <v>399015.4028152121</v>
      </c>
      <c r="Q66">
        <f t="shared" si="9"/>
        <v>3796.007613935966</v>
      </c>
      <c r="R66">
        <f t="shared" si="15"/>
        <v>-2254.5142506796224</v>
      </c>
      <c r="S66">
        <f t="shared" si="16"/>
        <v>0</v>
      </c>
      <c r="T66">
        <f t="shared" si="17"/>
        <v>404720.1382110538</v>
      </c>
      <c r="U66">
        <f t="shared" si="10"/>
        <v>159213291683.78595</v>
      </c>
    </row>
    <row r="67" spans="1:21" ht="12.75">
      <c r="A67">
        <f t="shared" si="11"/>
        <v>260</v>
      </c>
      <c r="B67" s="1">
        <f t="shared" si="18"/>
        <v>0.5578011942280613</v>
      </c>
      <c r="C67" s="1">
        <f t="shared" si="5"/>
        <v>-70.92500560414999</v>
      </c>
      <c r="D67">
        <f t="shared" si="1"/>
        <v>94.92328133846911</v>
      </c>
      <c r="E67">
        <f t="shared" si="2"/>
        <v>207.32409096703574</v>
      </c>
      <c r="F67">
        <f t="shared" si="19"/>
        <v>70.4616443151333</v>
      </c>
      <c r="G67">
        <f t="shared" si="20"/>
        <v>267.2129189221948</v>
      </c>
      <c r="I67">
        <f t="shared" si="12"/>
        <v>80.5356752887157</v>
      </c>
      <c r="J67">
        <f t="shared" si="13"/>
        <v>-3.696139255154913</v>
      </c>
      <c r="K67">
        <f t="shared" si="14"/>
        <v>-0.37492528813258985</v>
      </c>
      <c r="L67" s="1"/>
      <c r="M67" s="12">
        <v>5529</v>
      </c>
      <c r="N67">
        <f t="shared" si="6"/>
        <v>50604.70779853854</v>
      </c>
      <c r="O67">
        <f t="shared" si="7"/>
        <v>-289866.2097532076</v>
      </c>
      <c r="P67">
        <f t="shared" si="8"/>
        <v>340470.9175517461</v>
      </c>
      <c r="Q67">
        <f t="shared" si="9"/>
        <v>3900.1092940471476</v>
      </c>
      <c r="R67">
        <f t="shared" si="15"/>
        <v>-2601.9280298267604</v>
      </c>
      <c r="S67">
        <f t="shared" si="16"/>
        <v>0</v>
      </c>
      <c r="T67">
        <f t="shared" si="17"/>
        <v>369743.1601834791</v>
      </c>
      <c r="U67">
        <f t="shared" si="10"/>
        <v>115920445698.52791</v>
      </c>
    </row>
    <row r="68" spans="1:21" ht="12.75">
      <c r="A68">
        <f t="shared" si="11"/>
        <v>265</v>
      </c>
      <c r="B68" s="1">
        <f t="shared" si="18"/>
        <v>0.5148328498500343</v>
      </c>
      <c r="C68" s="1">
        <f t="shared" si="5"/>
        <v>-71.17773799565978</v>
      </c>
      <c r="D68">
        <f t="shared" si="1"/>
        <v>96.7069770091867</v>
      </c>
      <c r="E68">
        <f t="shared" si="2"/>
        <v>209.4525740558761</v>
      </c>
      <c r="F68">
        <f t="shared" si="19"/>
        <v>68.75269339193406</v>
      </c>
      <c r="G68">
        <f t="shared" si="20"/>
        <v>272.28766366971314</v>
      </c>
      <c r="I68">
        <f t="shared" si="12"/>
        <v>74.33187962400501</v>
      </c>
      <c r="J68">
        <f t="shared" si="13"/>
        <v>-3.7222773988264097</v>
      </c>
      <c r="K68">
        <f t="shared" si="14"/>
        <v>-0.18820216252127864</v>
      </c>
      <c r="L68" s="1"/>
      <c r="M68" s="12">
        <v>6451</v>
      </c>
      <c r="N68">
        <f t="shared" si="6"/>
        <v>-14840.843083047106</v>
      </c>
      <c r="O68">
        <f t="shared" si="7"/>
        <v>-293217.81883708993</v>
      </c>
      <c r="P68">
        <f t="shared" si="8"/>
        <v>278376.9757540428</v>
      </c>
      <c r="Q68">
        <f t="shared" si="9"/>
        <v>3955.514343279803</v>
      </c>
      <c r="R68">
        <f t="shared" si="15"/>
        <v>-3096.728002634749</v>
      </c>
      <c r="S68">
        <f t="shared" si="16"/>
        <v>0</v>
      </c>
      <c r="T68">
        <f t="shared" si="17"/>
        <v>309423.9466528945</v>
      </c>
      <c r="U68">
        <f t="shared" si="10"/>
        <v>77493740629.96693</v>
      </c>
    </row>
    <row r="69" spans="1:21" ht="12.75">
      <c r="A69">
        <f t="shared" si="11"/>
        <v>270</v>
      </c>
      <c r="B69" s="1">
        <f t="shared" si="18"/>
        <v>0.47186005424214017</v>
      </c>
      <c r="C69" s="1">
        <f t="shared" si="5"/>
        <v>-70.94028710274034</v>
      </c>
      <c r="D69">
        <f t="shared" si="1"/>
        <v>98.45046551827103</v>
      </c>
      <c r="E69">
        <f t="shared" si="2"/>
        <v>211.50498652514082</v>
      </c>
      <c r="F69">
        <f t="shared" si="19"/>
        <v>67.04356543297743</v>
      </c>
      <c r="G69">
        <f t="shared" si="20"/>
        <v>277.32202421984084</v>
      </c>
      <c r="I69">
        <f t="shared" si="12"/>
        <v>68.12744128802197</v>
      </c>
      <c r="J69">
        <f t="shared" si="13"/>
        <v>-3.7226630015898254</v>
      </c>
      <c r="K69">
        <f t="shared" si="14"/>
        <v>-0.002776450954631257</v>
      </c>
      <c r="L69" s="1"/>
      <c r="M69" s="12">
        <v>7424</v>
      </c>
      <c r="N69">
        <f t="shared" si="6"/>
        <v>-83816.23297303618</v>
      </c>
      <c r="O69">
        <f t="shared" si="7"/>
        <v>-294337.86326986225</v>
      </c>
      <c r="P69">
        <f t="shared" si="8"/>
        <v>210521.63029682607</v>
      </c>
      <c r="Q69">
        <f t="shared" si="9"/>
        <v>3963.647924631935</v>
      </c>
      <c r="R69">
        <f t="shared" si="15"/>
        <v>-3586.940912990196</v>
      </c>
      <c r="S69">
        <f t="shared" si="16"/>
        <v>0</v>
      </c>
      <c r="T69">
        <f t="shared" si="17"/>
        <v>244449.30302543443</v>
      </c>
      <c r="U69">
        <f t="shared" si="10"/>
        <v>44319356822.83352</v>
      </c>
    </row>
    <row r="70" spans="1:21" ht="12.75">
      <c r="A70">
        <f t="shared" si="11"/>
        <v>275</v>
      </c>
      <c r="B70" s="1">
        <f t="shared" si="18"/>
        <v>0.4291780620322479</v>
      </c>
      <c r="C70" s="1">
        <f t="shared" si="5"/>
        <v>-70.21603844248011</v>
      </c>
      <c r="D70">
        <f t="shared" si="1"/>
        <v>100.14152049495839</v>
      </c>
      <c r="E70">
        <f t="shared" si="2"/>
        <v>213.46812159193357</v>
      </c>
      <c r="F70">
        <f t="shared" si="19"/>
        <v>65.34600340104635</v>
      </c>
      <c r="G70">
        <f t="shared" si="20"/>
        <v>282.3155171645971</v>
      </c>
      <c r="I70">
        <f t="shared" si="12"/>
        <v>61.96498932330645</v>
      </c>
      <c r="J70">
        <f t="shared" si="13"/>
        <v>-3.6974711788293138</v>
      </c>
      <c r="K70">
        <f t="shared" si="14"/>
        <v>0.18138837941086056</v>
      </c>
      <c r="L70" s="1"/>
      <c r="M70" s="12">
        <v>7936</v>
      </c>
      <c r="N70">
        <f t="shared" si="6"/>
        <v>-118911.1419664939</v>
      </c>
      <c r="O70">
        <f t="shared" si="7"/>
        <v>-293217.81883708993</v>
      </c>
      <c r="P70">
        <f t="shared" si="8"/>
        <v>174306.676870596</v>
      </c>
      <c r="Q70">
        <f t="shared" si="9"/>
        <v>3924.1911686008493</v>
      </c>
      <c r="R70">
        <f t="shared" si="15"/>
        <v>-3943.969257417934</v>
      </c>
      <c r="S70">
        <f t="shared" si="16"/>
        <v>0</v>
      </c>
      <c r="T70">
        <f t="shared" si="17"/>
        <v>192414.15358371104</v>
      </c>
      <c r="U70">
        <f t="shared" si="10"/>
        <v>30382817601.670372</v>
      </c>
    </row>
    <row r="71" spans="1:21" ht="12.75">
      <c r="A71">
        <f t="shared" si="11"/>
        <v>280</v>
      </c>
      <c r="B71" s="1">
        <f t="shared" si="18"/>
        <v>0.38707997380107245</v>
      </c>
      <c r="C71" s="1">
        <f t="shared" si="5"/>
        <v>-69.00881836150984</v>
      </c>
      <c r="D71">
        <f t="shared" si="1"/>
        <v>101.76788965708408</v>
      </c>
      <c r="E71">
        <f t="shared" si="2"/>
        <v>215.32967802884593</v>
      </c>
      <c r="F71">
        <f t="shared" si="19"/>
        <v>63.671664587461976</v>
      </c>
      <c r="G71">
        <f t="shared" si="20"/>
        <v>287.2675475131384</v>
      </c>
      <c r="I71">
        <f t="shared" si="12"/>
        <v>55.886841769761666</v>
      </c>
      <c r="J71">
        <f t="shared" si="13"/>
        <v>-3.646888532126869</v>
      </c>
      <c r="K71">
        <f t="shared" si="14"/>
        <v>0.3642096246425885</v>
      </c>
      <c r="L71" s="1"/>
      <c r="M71" s="12">
        <v>8448</v>
      </c>
      <c r="N71">
        <f t="shared" si="6"/>
        <v>-152199.22493158345</v>
      </c>
      <c r="O71">
        <f t="shared" si="7"/>
        <v>-289866.2097532076</v>
      </c>
      <c r="P71">
        <f t="shared" si="8"/>
        <v>137666.98482162412</v>
      </c>
      <c r="Q71">
        <f t="shared" si="9"/>
        <v>3835.067584453404</v>
      </c>
      <c r="R71">
        <f t="shared" si="15"/>
        <v>-4149.34872988657</v>
      </c>
      <c r="S71">
        <f t="shared" si="16"/>
        <v>0</v>
      </c>
      <c r="T71">
        <f t="shared" si="17"/>
        <v>155986.83084611007</v>
      </c>
      <c r="U71">
        <f t="shared" si="10"/>
        <v>18952198709.877285</v>
      </c>
    </row>
    <row r="72" spans="1:21" ht="12.75">
      <c r="A72">
        <f t="shared" si="11"/>
        <v>285</v>
      </c>
      <c r="B72" s="1">
        <f t="shared" si="18"/>
        <v>0.3458563000549848</v>
      </c>
      <c r="C72" s="1">
        <f t="shared" si="5"/>
        <v>-67.32348300669106</v>
      </c>
      <c r="D72">
        <f t="shared" si="1"/>
        <v>103.31733492182241</v>
      </c>
      <c r="E72">
        <f t="shared" si="2"/>
        <v>217.0782766995466</v>
      </c>
      <c r="F72">
        <f t="shared" si="19"/>
        <v>62.03210327026897</v>
      </c>
      <c r="G72">
        <f t="shared" si="20"/>
        <v>292.17743146068375</v>
      </c>
      <c r="I72">
        <f t="shared" si="12"/>
        <v>49.934942710783545</v>
      </c>
      <c r="J72">
        <f t="shared" si="13"/>
        <v>-3.5711394353868724</v>
      </c>
      <c r="K72">
        <f t="shared" si="14"/>
        <v>0.5454153131405006</v>
      </c>
      <c r="L72" s="1"/>
      <c r="M72" s="12">
        <v>8960</v>
      </c>
      <c r="N72">
        <f t="shared" si="6"/>
        <v>-182951.83436461503</v>
      </c>
      <c r="O72">
        <f t="shared" si="7"/>
        <v>-284308.5437871005</v>
      </c>
      <c r="P72">
        <f t="shared" si="8"/>
        <v>101356.7094224855</v>
      </c>
      <c r="Q72">
        <f t="shared" si="9"/>
        <v>3692.2498073626452</v>
      </c>
      <c r="R72">
        <f t="shared" si="15"/>
        <v>-4317.11078411213</v>
      </c>
      <c r="S72">
        <f t="shared" si="16"/>
        <v>0</v>
      </c>
      <c r="T72">
        <f t="shared" si="17"/>
        <v>119511.84712205481</v>
      </c>
      <c r="U72">
        <f t="shared" si="10"/>
        <v>10273182544.95416</v>
      </c>
    </row>
    <row r="73" spans="1:21" ht="12.75">
      <c r="A73">
        <f t="shared" si="11"/>
        <v>290</v>
      </c>
      <c r="B73" s="1">
        <f t="shared" si="18"/>
        <v>0.3057941216295422</v>
      </c>
      <c r="C73" s="1">
        <f t="shared" si="5"/>
        <v>-65.16665972784291</v>
      </c>
      <c r="D73">
        <f t="shared" si="1"/>
        <v>104.77769855804326</v>
      </c>
      <c r="E73">
        <f t="shared" si="2"/>
        <v>218.70347144539096</v>
      </c>
      <c r="F73">
        <f t="shared" si="19"/>
        <v>60.43873732153244</v>
      </c>
      <c r="G73">
        <f t="shared" si="20"/>
        <v>297.0444291481681</v>
      </c>
      <c r="I73">
        <f t="shared" si="12"/>
        <v>44.150741051812396</v>
      </c>
      <c r="J73">
        <f t="shared" si="13"/>
        <v>-3.470520995382689</v>
      </c>
      <c r="K73">
        <f t="shared" si="14"/>
        <v>0.7244817473000109</v>
      </c>
      <c r="L73" s="1"/>
      <c r="M73" s="12">
        <v>9390</v>
      </c>
      <c r="N73">
        <f t="shared" si="6"/>
        <v>-205112.32216002455</v>
      </c>
      <c r="O73">
        <f t="shared" si="7"/>
        <v>-276587.1181325812</v>
      </c>
      <c r="P73">
        <f t="shared" si="8"/>
        <v>71474.79597255663</v>
      </c>
      <c r="Q73">
        <f t="shared" si="9"/>
        <v>3489.3568546654806</v>
      </c>
      <c r="R73">
        <f t="shared" si="15"/>
        <v>-4422.504185088358</v>
      </c>
      <c r="S73">
        <f t="shared" si="16"/>
        <v>0</v>
      </c>
      <c r="T73">
        <f t="shared" si="17"/>
        <v>86415.75269752106</v>
      </c>
      <c r="U73">
        <f t="shared" si="10"/>
        <v>5108646459.318598</v>
      </c>
    </row>
    <row r="74" spans="1:21" ht="12.75">
      <c r="A74">
        <f t="shared" si="11"/>
        <v>295</v>
      </c>
      <c r="B74" s="1">
        <f t="shared" si="18"/>
        <v>0.26717576501718426</v>
      </c>
      <c r="C74" s="1">
        <f t="shared" si="5"/>
        <v>-62.547603220077576</v>
      </c>
      <c r="D74">
        <f t="shared" si="1"/>
        <v>106.1369990215137</v>
      </c>
      <c r="E74">
        <f t="shared" si="2"/>
        <v>220.19575564199</v>
      </c>
      <c r="F74">
        <f t="shared" si="19"/>
        <v>58.90279552204166</v>
      </c>
      <c r="G74">
        <f t="shared" si="20"/>
        <v>301.86778781214775</v>
      </c>
      <c r="I74">
        <f t="shared" si="12"/>
        <v>38.57499926334094</v>
      </c>
      <c r="J74">
        <f t="shared" si="13"/>
        <v>-3.345445073082873</v>
      </c>
      <c r="K74">
        <f t="shared" si="14"/>
        <v>0.9005826638652321</v>
      </c>
      <c r="L74" s="1"/>
      <c r="M74" s="12">
        <v>9810</v>
      </c>
      <c r="N74">
        <f t="shared" si="6"/>
        <v>-223138.82467803967</v>
      </c>
      <c r="O74">
        <f t="shared" si="7"/>
        <v>-266760.6975012049</v>
      </c>
      <c r="P74">
        <f t="shared" si="8"/>
        <v>43621.872823165235</v>
      </c>
      <c r="Q74">
        <f t="shared" si="9"/>
        <v>3216.9715553151245</v>
      </c>
      <c r="R74">
        <f t="shared" si="15"/>
        <v>-4460.593430777163</v>
      </c>
      <c r="S74">
        <f t="shared" si="16"/>
        <v>0</v>
      </c>
      <c r="T74">
        <f t="shared" si="17"/>
        <v>57548.334397860934</v>
      </c>
      <c r="U74">
        <f t="shared" si="10"/>
        <v>1902867788.6004016</v>
      </c>
    </row>
    <row r="75" spans="1:21" ht="12.75">
      <c r="A75">
        <f t="shared" si="11"/>
        <v>300</v>
      </c>
      <c r="B75" s="1">
        <f t="shared" si="18"/>
        <v>0.2302769388864321</v>
      </c>
      <c r="C75" s="1">
        <f t="shared" si="5"/>
        <v>-59.47911160315022</v>
      </c>
      <c r="D75">
        <f t="shared" si="1"/>
        <v>107.38355871450418</v>
      </c>
      <c r="E75">
        <f t="shared" si="2"/>
        <v>221.54656552765252</v>
      </c>
      <c r="F75">
        <f t="shared" si="19"/>
        <v>57.43524344634745</v>
      </c>
      <c r="G75">
        <f t="shared" si="20"/>
        <v>306.64679542944396</v>
      </c>
      <c r="I75">
        <f t="shared" si="12"/>
        <v>33.24752433042418</v>
      </c>
      <c r="J75">
        <f t="shared" si="13"/>
        <v>-3.196484959750059</v>
      </c>
      <c r="K75">
        <f t="shared" si="14"/>
        <v>1.0725557182249899</v>
      </c>
      <c r="L75" s="1"/>
      <c r="M75" s="12">
        <v>10240</v>
      </c>
      <c r="N75">
        <f t="shared" si="6"/>
        <v>-237767.98655003947</v>
      </c>
      <c r="O75">
        <f t="shared" si="7"/>
        <v>-254904.06688733134</v>
      </c>
      <c r="P75">
        <f t="shared" si="8"/>
        <v>17136.080337291874</v>
      </c>
      <c r="Q75">
        <f t="shared" si="9"/>
        <v>2861.5454832135665</v>
      </c>
      <c r="R75">
        <f t="shared" si="15"/>
        <v>-4450.661350207547</v>
      </c>
      <c r="S75">
        <f t="shared" si="16"/>
        <v>0</v>
      </c>
      <c r="T75">
        <f t="shared" si="17"/>
        <v>30378.976580228555</v>
      </c>
      <c r="U75">
        <f t="shared" si="10"/>
        <v>293645249.3261212</v>
      </c>
    </row>
    <row r="76" spans="1:21" ht="12.75">
      <c r="A76">
        <f t="shared" si="11"/>
        <v>305</v>
      </c>
      <c r="B76" s="1">
        <f t="shared" si="18"/>
        <v>0.19536431702594778</v>
      </c>
      <c r="C76" s="1">
        <f t="shared" si="5"/>
        <v>-55.978428126796416</v>
      </c>
      <c r="D76">
        <f t="shared" si="1"/>
        <v>108.5061638325031</v>
      </c>
      <c r="E76">
        <f t="shared" si="2"/>
        <v>222.7482812115955</v>
      </c>
      <c r="F76">
        <f t="shared" si="19"/>
        <v>56.046687330829734</v>
      </c>
      <c r="G76">
        <f t="shared" si="20"/>
        <v>311.3808444319252</v>
      </c>
      <c r="I76">
        <f t="shared" si="12"/>
        <v>28.20681877667433</v>
      </c>
      <c r="J76">
        <f t="shared" si="13"/>
        <v>-3.0244233322499094</v>
      </c>
      <c r="K76">
        <f t="shared" si="14"/>
        <v>1.238893273732025</v>
      </c>
      <c r="L76" s="1"/>
      <c r="M76" s="12">
        <v>10547</v>
      </c>
      <c r="N76">
        <f t="shared" si="6"/>
        <v>-240959.36778550773</v>
      </c>
      <c r="O76">
        <f t="shared" si="7"/>
        <v>-241107.4624091614</v>
      </c>
      <c r="P76">
        <f t="shared" si="8"/>
        <v>148.0946236536838</v>
      </c>
      <c r="Q76">
        <f t="shared" si="9"/>
        <v>2403.6504878665264</v>
      </c>
      <c r="R76">
        <f t="shared" si="15"/>
        <v>-4365.881097741588</v>
      </c>
      <c r="S76">
        <f t="shared" si="16"/>
        <v>0</v>
      </c>
      <c r="T76">
        <f t="shared" si="17"/>
        <v>8642.08748047278</v>
      </c>
      <c r="U76">
        <f t="shared" si="10"/>
        <v>21932.017555126244</v>
      </c>
    </row>
    <row r="77" spans="1:21" ht="12.75">
      <c r="A77">
        <f t="shared" si="11"/>
        <v>310</v>
      </c>
      <c r="B77" s="1">
        <f t="shared" si="18"/>
        <v>0.16269260362897195</v>
      </c>
      <c r="C77" s="1">
        <f t="shared" si="5"/>
        <v>-52.06803562685773</v>
      </c>
      <c r="D77">
        <f t="shared" si="1"/>
        <v>109.49425368020016</v>
      </c>
      <c r="E77">
        <f t="shared" si="2"/>
        <v>223.79422610025676</v>
      </c>
      <c r="F77">
        <f t="shared" si="19"/>
        <v>54.747257353238716</v>
      </c>
      <c r="G77">
        <f t="shared" si="20"/>
        <v>316.06950430203125</v>
      </c>
      <c r="I77">
        <f t="shared" si="12"/>
        <v>23.489656948245138</v>
      </c>
      <c r="J77">
        <f t="shared" si="13"/>
        <v>-2.8302970970575148</v>
      </c>
      <c r="K77">
        <f t="shared" si="14"/>
        <v>1.3977648039774009</v>
      </c>
      <c r="L77" s="1"/>
      <c r="M77" s="12">
        <v>10957</v>
      </c>
      <c r="N77">
        <f t="shared" si="6"/>
        <v>-245474.9622349633</v>
      </c>
      <c r="O77">
        <f t="shared" si="7"/>
        <v>-225475.88455739155</v>
      </c>
      <c r="P77">
        <f t="shared" si="8"/>
        <v>-19999.077677571768</v>
      </c>
      <c r="Q77">
        <f t="shared" si="9"/>
        <v>1815.1325961903203</v>
      </c>
      <c r="R77">
        <f t="shared" si="15"/>
        <v>-4226.576998272555</v>
      </c>
      <c r="S77">
        <f t="shared" si="16"/>
        <v>-9925.491526959042</v>
      </c>
      <c r="T77">
        <f t="shared" si="17"/>
        <v>0</v>
      </c>
      <c r="U77">
        <f t="shared" si="10"/>
        <v>399963107.9535494</v>
      </c>
    </row>
    <row r="78" spans="1:21" ht="12.75">
      <c r="A78">
        <f t="shared" si="11"/>
        <v>315</v>
      </c>
      <c r="B78" s="1">
        <f t="shared" si="18"/>
        <v>0.1325011772480121</v>
      </c>
      <c r="C78" s="1">
        <f t="shared" si="5"/>
        <v>-47.776238139553456</v>
      </c>
      <c r="D78">
        <f t="shared" si="1"/>
        <v>110.33813347728737</v>
      </c>
      <c r="E78">
        <f t="shared" si="2"/>
        <v>224.67866533448827</v>
      </c>
      <c r="F78">
        <f t="shared" si="19"/>
        <v>53.54647415497269</v>
      </c>
      <c r="G78">
        <f t="shared" si="20"/>
        <v>320.7126009008524</v>
      </c>
      <c r="I78">
        <f t="shared" si="12"/>
        <v>19.13060046597089</v>
      </c>
      <c r="J78">
        <f t="shared" si="13"/>
        <v>-2.6154338893645486</v>
      </c>
      <c r="K78">
        <f t="shared" si="14"/>
        <v>1.5470769784684952</v>
      </c>
      <c r="L78" s="1"/>
      <c r="M78" s="12">
        <v>11264</v>
      </c>
      <c r="N78">
        <f t="shared" si="6"/>
        <v>-239908.57092272028</v>
      </c>
      <c r="O78">
        <f t="shared" si="7"/>
        <v>-208128.29907807847</v>
      </c>
      <c r="P78">
        <f t="shared" si="8"/>
        <v>-31780.2718446418</v>
      </c>
      <c r="Q78">
        <f t="shared" si="9"/>
        <v>1054.3164661092578</v>
      </c>
      <c r="R78">
        <f t="shared" si="15"/>
        <v>-4035.9414205256694</v>
      </c>
      <c r="S78">
        <f t="shared" si="16"/>
        <v>-25889.674761106784</v>
      </c>
      <c r="T78">
        <f t="shared" si="17"/>
        <v>0</v>
      </c>
      <c r="U78">
        <f t="shared" si="10"/>
        <v>1009985678.5193323</v>
      </c>
    </row>
    <row r="79" spans="1:21" ht="12.75">
      <c r="A79">
        <f t="shared" si="11"/>
        <v>320</v>
      </c>
      <c r="B79" s="1">
        <f aca="true" t="shared" si="21" ref="B79:B87">($B$11-F79)/($B$11-$B$12)</f>
        <v>0.10501047462886966</v>
      </c>
      <c r="C79" s="1">
        <f t="shared" si="5"/>
        <v>-43.13742299904052</v>
      </c>
      <c r="D79">
        <f aca="true" t="shared" si="22" ref="D79:D87">DEGREES(ACOS(($B$5^2+$B$4^2-$B$7^2-$B$8^2+2*$B$7*$B$8*COS(RADIANS(A79-$B$10)))/(2*$B$5*$B$4)))</f>
        <v>111.02920103885053</v>
      </c>
      <c r="E79">
        <f aca="true" t="shared" si="23" ref="E79:E87">SQRT($B$8^2+$B$7^2-2*$B$8*$B$7*COS(RADIANS($B$10-A79)))</f>
        <v>225.3968037071801</v>
      </c>
      <c r="F79">
        <f aca="true" t="shared" si="24" ref="F79:F87">DEGREES(ASIN($B$4*SIN(RADIANS(D79))/E79))+DEGREES(ASIN($B$8*SIN(RADIANS(A79-$B$10))/E79))</f>
        <v>52.4531050177526</v>
      </c>
      <c r="G79">
        <f aca="true" t="shared" si="25" ref="G79:G87">D79+F79+(A79-$B$10)</f>
        <v>325.3102993251955</v>
      </c>
      <c r="I79">
        <f t="shared" si="12"/>
        <v>15.161476121126444</v>
      </c>
      <c r="J79">
        <f t="shared" si="13"/>
        <v>-2.381474606906667</v>
      </c>
      <c r="K79">
        <f t="shared" si="14"/>
        <v>1.6845742166654136</v>
      </c>
      <c r="L79" s="1"/>
      <c r="M79" s="12">
        <v>11571</v>
      </c>
      <c r="N79">
        <f t="shared" si="6"/>
        <v>-229857.93100007944</v>
      </c>
      <c r="O79">
        <f t="shared" si="7"/>
        <v>-189196.73157147827</v>
      </c>
      <c r="P79">
        <f t="shared" si="8"/>
        <v>-40661.19942860116</v>
      </c>
      <c r="Q79">
        <f t="shared" si="9"/>
        <v>57.53524250514238</v>
      </c>
      <c r="R79">
        <f t="shared" si="15"/>
        <v>-3776.4564339384547</v>
      </c>
      <c r="S79">
        <f t="shared" si="16"/>
        <v>-36220.73563662148</v>
      </c>
      <c r="T79">
        <f t="shared" si="17"/>
        <v>0</v>
      </c>
      <c r="U79">
        <f t="shared" si="10"/>
        <v>1653333138.9724755</v>
      </c>
    </row>
    <row r="80" spans="1:21" ht="12.75">
      <c r="A80">
        <f t="shared" si="11"/>
        <v>325</v>
      </c>
      <c r="B80" s="1">
        <f t="shared" si="21"/>
        <v>0.08041833628300894</v>
      </c>
      <c r="C80" s="1">
        <f aca="true" t="shared" si="26" ref="C80:C87">$C$9*$B$8*$B$3/$B$5*SIN(RADIANS(G80))/SIN(RADIANS(D80))</f>
        <v>-38.19191255158323</v>
      </c>
      <c r="D80">
        <f t="shared" si="22"/>
        <v>111.56017430574606</v>
      </c>
      <c r="E80">
        <f t="shared" si="23"/>
        <v>225.94478342756588</v>
      </c>
      <c r="F80">
        <f t="shared" si="24"/>
        <v>51.47501851854148</v>
      </c>
      <c r="G80">
        <f t="shared" si="25"/>
        <v>329.8631860928799</v>
      </c>
      <c r="I80">
        <f t="shared" si="12"/>
        <v>11.610848246945787</v>
      </c>
      <c r="J80">
        <f t="shared" si="13"/>
        <v>-2.1303767245083947</v>
      </c>
      <c r="K80">
        <f t="shared" si="14"/>
        <v>1.8079770723504547</v>
      </c>
      <c r="L80" s="1"/>
      <c r="M80" s="12">
        <v>11981</v>
      </c>
      <c r="N80">
        <f aca="true" t="shared" si="27" ref="N80:N87">C80*(M80-$L$7)</f>
        <v>-219164.4429449106</v>
      </c>
      <c r="O80">
        <f aca="true" t="shared" si="28" ref="O80:O87">$C$9*$L$8*SIN(RADIANS(A80))</f>
        <v>-168825.26269750917</v>
      </c>
      <c r="P80">
        <f aca="true" t="shared" si="29" ref="P80:P87">N80-O80</f>
        <v>-50339.18024740144</v>
      </c>
      <c r="Q80">
        <f aca="true" t="shared" si="30" ref="Q80:Q87">IF(($F$3+O80)/C80+$L$7&lt;$F$4,($F$3+O80)/C80+$L$7,$F$4)</f>
        <v>-1276.7592065734707</v>
      </c>
      <c r="R80">
        <f t="shared" si="15"/>
        <v>-3484.3494871959515</v>
      </c>
      <c r="S80">
        <f t="shared" si="16"/>
        <v>-45500.1898380013</v>
      </c>
      <c r="T80">
        <f t="shared" si="17"/>
        <v>0</v>
      </c>
      <c r="U80">
        <f aca="true" t="shared" si="31" ref="U80:U87">P80^2</f>
        <v>2534033067.9803715</v>
      </c>
    </row>
    <row r="81" spans="1:21" ht="12.75">
      <c r="A81">
        <f aca="true" t="shared" si="32" ref="A81:A87">A80+5*$C$9</f>
        <v>330</v>
      </c>
      <c r="B81" s="1">
        <f t="shared" si="21"/>
        <v>0.05889658086399985</v>
      </c>
      <c r="C81" s="1">
        <f t="shared" si="26"/>
        <v>-32.98535004555804</v>
      </c>
      <c r="D81">
        <f t="shared" si="22"/>
        <v>111.92530415948204</v>
      </c>
      <c r="E81">
        <f t="shared" si="23"/>
        <v>226.31968201232016</v>
      </c>
      <c r="F81">
        <f t="shared" si="24"/>
        <v>50.61904828453377</v>
      </c>
      <c r="G81">
        <f t="shared" si="25"/>
        <v>334.3723457126082</v>
      </c>
      <c r="I81">
        <f aca="true" t="shared" si="33" ref="I81:I87">-$B$3*B81*($B$11-$B$12)*2*3.1415/360</f>
        <v>8.503524125011742</v>
      </c>
      <c r="J81">
        <f aca="true" t="shared" si="34" ref="J81:J87">(I81-I80)/10*$E$8</f>
        <v>-1.8643944731604272</v>
      </c>
      <c r="K81">
        <f aca="true" t="shared" si="35" ref="K81:K87">(J81-J80)/0.8333*$E$8</f>
        <v>1.915148815657992</v>
      </c>
      <c r="L81" s="1"/>
      <c r="M81" s="12">
        <v>12288</v>
      </c>
      <c r="N81">
        <f t="shared" si="27"/>
        <v>-199413.06564182136</v>
      </c>
      <c r="O81">
        <f t="shared" si="28"/>
        <v>-147168.93163493124</v>
      </c>
      <c r="P81">
        <f t="shared" si="29"/>
        <v>-52244.13400689012</v>
      </c>
      <c r="Q81">
        <f t="shared" si="30"/>
        <v>-3120.1776699329766</v>
      </c>
      <c r="R81">
        <f aca="true" t="shared" si="36" ref="R81:R87">(M81+M80)/2*(I81-I80)/12</f>
        <v>-3142.152046467389</v>
      </c>
      <c r="S81">
        <f aca="true" t="shared" si="37" ref="S81:S87">IF(P81&lt;0,(P80+P81)/2,0)</f>
        <v>-51291.65712714578</v>
      </c>
      <c r="T81">
        <f aca="true" t="shared" si="38" ref="T81:T87">IF(P81&gt;=0,(P80+P81)/2,0)</f>
        <v>0</v>
      </c>
      <c r="U81">
        <f t="shared" si="31"/>
        <v>2729449538.129893</v>
      </c>
    </row>
    <row r="82" spans="1:21" ht="12.75">
      <c r="A82">
        <f t="shared" si="32"/>
        <v>335</v>
      </c>
      <c r="B82" s="1">
        <f t="shared" si="21"/>
        <v>0.04058809359030067</v>
      </c>
      <c r="C82" s="1">
        <f t="shared" si="26"/>
        <v>-27.567617527119218</v>
      </c>
      <c r="D82">
        <f t="shared" si="22"/>
        <v>112.12055594509114</v>
      </c>
      <c r="E82">
        <f t="shared" si="23"/>
        <v>226.5195105116645</v>
      </c>
      <c r="F82">
        <f t="shared" si="24"/>
        <v>49.89087719296223</v>
      </c>
      <c r="G82">
        <f t="shared" si="25"/>
        <v>338.83942640664577</v>
      </c>
      <c r="I82">
        <f t="shared" si="33"/>
        <v>5.8601336099685515</v>
      </c>
      <c r="J82">
        <f t="shared" si="34"/>
        <v>-1.5860343090259141</v>
      </c>
      <c r="K82">
        <f t="shared" si="35"/>
        <v>2.0042733527026018</v>
      </c>
      <c r="L82" s="1"/>
      <c r="M82" s="12">
        <v>11981</v>
      </c>
      <c r="N82">
        <f t="shared" si="27"/>
        <v>-158196.88344984376</v>
      </c>
      <c r="O82">
        <f t="shared" si="28"/>
        <v>-124392.55613958079</v>
      </c>
      <c r="P82">
        <f t="shared" si="29"/>
        <v>-33804.327310262976</v>
      </c>
      <c r="Q82">
        <f t="shared" si="30"/>
        <v>-5786.379673939016</v>
      </c>
      <c r="R82">
        <f t="shared" si="36"/>
        <v>-2673.018517065966</v>
      </c>
      <c r="S82">
        <f t="shared" si="37"/>
        <v>-43024.23065857655</v>
      </c>
      <c r="T82">
        <f t="shared" si="38"/>
        <v>0</v>
      </c>
      <c r="U82">
        <f t="shared" si="31"/>
        <v>1142732544.8993912</v>
      </c>
    </row>
    <row r="83" spans="1:21" ht="12.75">
      <c r="A83">
        <f t="shared" si="32"/>
        <v>340</v>
      </c>
      <c r="B83" s="1">
        <f t="shared" si="21"/>
        <v>0.025604696244015453</v>
      </c>
      <c r="C83" s="1">
        <f t="shared" si="26"/>
        <v>-21.99134739451753</v>
      </c>
      <c r="D83">
        <f t="shared" si="22"/>
        <v>112.14374414870645</v>
      </c>
      <c r="E83">
        <f t="shared" si="23"/>
        <v>226.54321221812796</v>
      </c>
      <c r="F83">
        <f t="shared" si="24"/>
        <v>49.294952655998</v>
      </c>
      <c r="G83">
        <f t="shared" si="25"/>
        <v>343.2666900732968</v>
      </c>
      <c r="I83">
        <f t="shared" si="33"/>
        <v>3.696821598648506</v>
      </c>
      <c r="J83">
        <f t="shared" si="34"/>
        <v>-1.2979872067920275</v>
      </c>
      <c r="K83">
        <f t="shared" si="35"/>
        <v>2.0740220969678624</v>
      </c>
      <c r="L83" s="1"/>
      <c r="M83" s="12">
        <v>11571</v>
      </c>
      <c r="N83">
        <f t="shared" si="27"/>
        <v>-117180.98255707625</v>
      </c>
      <c r="O83">
        <f t="shared" si="28"/>
        <v>-100669.47818172934</v>
      </c>
      <c r="P83">
        <f t="shared" si="29"/>
        <v>-16511.504375346907</v>
      </c>
      <c r="Q83">
        <f t="shared" si="30"/>
        <v>-9915.24619940953</v>
      </c>
      <c r="R83">
        <f t="shared" si="36"/>
        <v>-2122.930187108738</v>
      </c>
      <c r="S83">
        <f t="shared" si="37"/>
        <v>-25157.91584280494</v>
      </c>
      <c r="T83">
        <f t="shared" si="38"/>
        <v>0</v>
      </c>
      <c r="U83">
        <f t="shared" si="31"/>
        <v>272629776.73710006</v>
      </c>
    </row>
    <row r="84" spans="1:21" ht="12.75">
      <c r="A84">
        <f t="shared" si="32"/>
        <v>345</v>
      </c>
      <c r="B84" s="1">
        <f t="shared" si="21"/>
        <v>0.014026009739807554</v>
      </c>
      <c r="C84" s="1">
        <f t="shared" si="26"/>
        <v>-16.310151639767213</v>
      </c>
      <c r="D84">
        <f t="shared" si="22"/>
        <v>111.99460790016751</v>
      </c>
      <c r="E84">
        <f t="shared" si="23"/>
        <v>226.39066195350844</v>
      </c>
      <c r="F84">
        <f t="shared" si="24"/>
        <v>48.83444138247266</v>
      </c>
      <c r="G84">
        <f t="shared" si="25"/>
        <v>347.6570425512325</v>
      </c>
      <c r="I84">
        <f t="shared" si="33"/>
        <v>2.025083807080667</v>
      </c>
      <c r="J84">
        <f t="shared" si="34"/>
        <v>-1.003042674940703</v>
      </c>
      <c r="K84">
        <f t="shared" si="35"/>
        <v>2.1236855767526057</v>
      </c>
      <c r="L84" s="1"/>
      <c r="M84" s="12">
        <v>11264</v>
      </c>
      <c r="N84">
        <f t="shared" si="27"/>
        <v>-81901.49169969762</v>
      </c>
      <c r="O84">
        <f t="shared" si="28"/>
        <v>-76180.24470902204</v>
      </c>
      <c r="P84">
        <f t="shared" si="29"/>
        <v>-5721.246990675587</v>
      </c>
      <c r="Q84">
        <f t="shared" si="30"/>
        <v>-17044.826134081577</v>
      </c>
      <c r="R84">
        <f t="shared" si="36"/>
        <v>-1590.5888529354831</v>
      </c>
      <c r="S84">
        <f t="shared" si="37"/>
        <v>-11116.375683011247</v>
      </c>
      <c r="T84">
        <f t="shared" si="38"/>
        <v>0</v>
      </c>
      <c r="U84">
        <f t="shared" si="31"/>
        <v>32732667.128314458</v>
      </c>
    </row>
    <row r="85" spans="1:21" ht="12.75">
      <c r="A85">
        <f t="shared" si="32"/>
        <v>350</v>
      </c>
      <c r="B85" s="1">
        <f t="shared" si="21"/>
        <v>0.00589942995821202</v>
      </c>
      <c r="C85" s="1">
        <f t="shared" si="26"/>
        <v>-10.576739921072463</v>
      </c>
      <c r="D85">
        <f t="shared" si="22"/>
        <v>111.67482010596311</v>
      </c>
      <c r="E85">
        <f t="shared" si="23"/>
        <v>226.0626659831794</v>
      </c>
      <c r="F85">
        <f t="shared" si="24"/>
        <v>48.511228416712875</v>
      </c>
      <c r="G85">
        <f t="shared" si="25"/>
        <v>352.01404179126837</v>
      </c>
      <c r="I85">
        <f t="shared" si="33"/>
        <v>0.85176328128984</v>
      </c>
      <c r="J85">
        <f t="shared" si="34"/>
        <v>-0.7039923154744963</v>
      </c>
      <c r="K85">
        <f t="shared" si="35"/>
        <v>2.153248718105413</v>
      </c>
      <c r="L85" s="1"/>
      <c r="M85" s="12">
        <v>11264</v>
      </c>
      <c r="N85">
        <f t="shared" si="27"/>
        <v>-53111.14182062507</v>
      </c>
      <c r="O85">
        <f t="shared" si="28"/>
        <v>-51111.233575189704</v>
      </c>
      <c r="P85">
        <f t="shared" si="29"/>
        <v>-1999.908245435363</v>
      </c>
      <c r="Q85">
        <f t="shared" si="30"/>
        <v>-32038.55935791177</v>
      </c>
      <c r="R85">
        <f t="shared" si="36"/>
        <v>-1101.3568668756564</v>
      </c>
      <c r="S85">
        <f t="shared" si="37"/>
        <v>-3860.577618055475</v>
      </c>
      <c r="T85">
        <f t="shared" si="38"/>
        <v>0</v>
      </c>
      <c r="U85">
        <f t="shared" si="31"/>
        <v>3999632.9901603516</v>
      </c>
    </row>
    <row r="86" spans="1:21" ht="12.75">
      <c r="A86">
        <f t="shared" si="32"/>
        <v>355</v>
      </c>
      <c r="B86" s="1">
        <f t="shared" si="21"/>
        <v>0.0012412263773179202</v>
      </c>
      <c r="C86" s="1">
        <f t="shared" si="26"/>
        <v>-4.841118047175804</v>
      </c>
      <c r="D86">
        <f t="shared" si="22"/>
        <v>111.18792932876478</v>
      </c>
      <c r="E86">
        <f t="shared" si="23"/>
        <v>225.56096256349022</v>
      </c>
      <c r="F86">
        <f t="shared" si="24"/>
        <v>48.325960833675865</v>
      </c>
      <c r="G86">
        <f t="shared" si="25"/>
        <v>356.341883431033</v>
      </c>
      <c r="I86">
        <f t="shared" si="33"/>
        <v>0.17920901840628597</v>
      </c>
      <c r="J86">
        <f t="shared" si="34"/>
        <v>-0.4035325577301324</v>
      </c>
      <c r="K86">
        <f t="shared" si="35"/>
        <v>2.163396791631085</v>
      </c>
      <c r="L86" s="1"/>
      <c r="M86" s="12">
        <v>11264</v>
      </c>
      <c r="N86">
        <f t="shared" si="27"/>
        <v>-24309.693638365494</v>
      </c>
      <c r="O86">
        <f t="shared" si="28"/>
        <v>-25653.235092043542</v>
      </c>
      <c r="P86">
        <f t="shared" si="29"/>
        <v>1343.5414536780481</v>
      </c>
      <c r="Q86">
        <f t="shared" si="30"/>
        <v>-82651.5901830483</v>
      </c>
      <c r="R86">
        <f t="shared" si="36"/>
        <v>-631.3042680933627</v>
      </c>
      <c r="S86">
        <f t="shared" si="37"/>
        <v>0</v>
      </c>
      <c r="T86">
        <f t="shared" si="38"/>
        <v>-328.1833958786574</v>
      </c>
      <c r="U86">
        <f t="shared" si="31"/>
        <v>1805103.6377513227</v>
      </c>
    </row>
    <row r="87" spans="1:21" ht="12.75">
      <c r="A87">
        <f t="shared" si="32"/>
        <v>360</v>
      </c>
      <c r="B87" s="1">
        <f t="shared" si="21"/>
        <v>3.865907742416606E-05</v>
      </c>
      <c r="C87" s="1">
        <f t="shared" si="26"/>
        <v>0.8509529102516916</v>
      </c>
      <c r="D87">
        <f t="shared" si="22"/>
        <v>110.5392399880994</v>
      </c>
      <c r="E87">
        <f t="shared" si="23"/>
        <v>224.88822308496447</v>
      </c>
      <c r="F87">
        <f t="shared" si="24"/>
        <v>48.27813193714492</v>
      </c>
      <c r="G87">
        <f t="shared" si="25"/>
        <v>360.6453651938367</v>
      </c>
      <c r="I87">
        <f t="shared" si="33"/>
        <v>0.005581621084018343</v>
      </c>
      <c r="J87">
        <f t="shared" si="34"/>
        <v>-0.10417643839336056</v>
      </c>
      <c r="K87">
        <f t="shared" si="35"/>
        <v>2.155450277235847</v>
      </c>
      <c r="L87" s="1"/>
      <c r="M87" s="12">
        <v>11264</v>
      </c>
      <c r="N87">
        <f t="shared" si="27"/>
        <v>4273.063442640511</v>
      </c>
      <c r="O87">
        <f t="shared" si="28"/>
        <v>-7.212151568123528E-11</v>
      </c>
      <c r="P87">
        <f t="shared" si="29"/>
        <v>4273.063442640583</v>
      </c>
      <c r="Q87">
        <f t="shared" si="30"/>
        <v>30500</v>
      </c>
      <c r="R87">
        <f t="shared" si="36"/>
        <v>-162.97825028650186</v>
      </c>
      <c r="S87">
        <f t="shared" si="37"/>
        <v>0</v>
      </c>
      <c r="T87">
        <f t="shared" si="38"/>
        <v>2808.3024481593156</v>
      </c>
      <c r="U87">
        <f t="shared" si="31"/>
        <v>18259071.184831392</v>
      </c>
    </row>
    <row r="88" spans="19:21" ht="12.75">
      <c r="S88">
        <f>SUM(S15:S87)</f>
        <v>-270916.65610999905</v>
      </c>
      <c r="T88">
        <f>SUM(T15:T87)</f>
        <v>13245667.601564536</v>
      </c>
      <c r="U88">
        <f>SUM(U15:U87)</f>
        <v>4548515369074.092</v>
      </c>
    </row>
    <row r="89" spans="17:19" ht="12.75">
      <c r="Q89" s="10" t="s">
        <v>80</v>
      </c>
      <c r="R89">
        <f>SUM(R16:R87)</f>
        <v>94194.20727046003</v>
      </c>
      <c r="S89" s="10" t="s">
        <v>68</v>
      </c>
    </row>
    <row r="90" spans="17:19" ht="12.75">
      <c r="Q90" s="10" t="s">
        <v>70</v>
      </c>
      <c r="R90" s="5">
        <f>E8*R89/33000</f>
        <v>17.126219503720005</v>
      </c>
      <c r="S90" s="10" t="s">
        <v>69</v>
      </c>
    </row>
    <row r="91" spans="17:19" ht="12.75">
      <c r="Q91" s="10" t="s">
        <v>104</v>
      </c>
      <c r="R91" s="5">
        <f>SQRT(U88/73)/SUM(P15:P87)*73</f>
        <v>1.404420736053085</v>
      </c>
      <c r="S91" s="10"/>
    </row>
    <row r="92" spans="17:19" ht="12.75">
      <c r="Q92" s="10" t="s">
        <v>91</v>
      </c>
      <c r="R92" s="5">
        <f>R90*R91/0.9/0.9</f>
        <v>29.694342964470554</v>
      </c>
      <c r="S92" s="10" t="s">
        <v>107</v>
      </c>
    </row>
    <row r="94" spans="14:19" ht="12.75">
      <c r="N94" s="10" t="s">
        <v>112</v>
      </c>
      <c r="R94" s="20">
        <f>-100*S88/(T88-S88)</f>
        <v>2.00432780164986</v>
      </c>
      <c r="S94" s="10" t="s">
        <v>101</v>
      </c>
    </row>
  </sheetData>
  <sheetProtection/>
  <mergeCells count="3">
    <mergeCell ref="E1:G1"/>
    <mergeCell ref="F2:G2"/>
    <mergeCell ref="I12:K12"/>
  </mergeCells>
  <printOptions gridLines="1"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4"/>
  <sheetViews>
    <sheetView zoomScalePageLayoutView="0" workbookViewId="0" topLeftCell="F52">
      <selection activeCell="R91" sqref="R91"/>
    </sheetView>
  </sheetViews>
  <sheetFormatPr defaultColWidth="9.140625" defaultRowHeight="12.75"/>
  <cols>
    <col min="2" max="2" width="12.421875" style="0" bestFit="1" customWidth="1"/>
    <col min="4" max="4" width="9.28125" style="0" customWidth="1"/>
    <col min="11" max="11" width="11.28125" style="0" customWidth="1"/>
    <col min="17" max="17" width="13.8515625" style="0" customWidth="1"/>
    <col min="19" max="19" width="10.8515625" style="0" customWidth="1"/>
  </cols>
  <sheetData>
    <row r="1" spans="1:7" ht="12.75">
      <c r="A1" t="s">
        <v>22</v>
      </c>
      <c r="E1" s="48" t="s">
        <v>87</v>
      </c>
      <c r="F1" s="49"/>
      <c r="G1" s="50"/>
    </row>
    <row r="2" spans="1:7" ht="12.75">
      <c r="A2" t="s">
        <v>0</v>
      </c>
      <c r="E2" s="10" t="s">
        <v>86</v>
      </c>
      <c r="F2" s="48" t="s">
        <v>135</v>
      </c>
      <c r="G2" s="50"/>
    </row>
    <row r="3" spans="1:7" ht="12.75">
      <c r="A3" t="s">
        <v>1</v>
      </c>
      <c r="B3" s="11">
        <v>173</v>
      </c>
      <c r="C3" t="s">
        <v>7</v>
      </c>
      <c r="E3" s="10" t="s">
        <v>34</v>
      </c>
      <c r="F3" s="11">
        <v>320000</v>
      </c>
      <c r="G3" s="10" t="s">
        <v>71</v>
      </c>
    </row>
    <row r="4" spans="1:13" ht="12.75">
      <c r="A4" t="s">
        <v>2</v>
      </c>
      <c r="B4" s="11">
        <v>149</v>
      </c>
      <c r="C4" t="s">
        <v>7</v>
      </c>
      <c r="E4" s="10" t="s">
        <v>92</v>
      </c>
      <c r="F4" s="11">
        <v>25600</v>
      </c>
      <c r="G4" s="10" t="s">
        <v>93</v>
      </c>
      <c r="K4" t="s">
        <v>35</v>
      </c>
      <c r="L4">
        <v>4518</v>
      </c>
      <c r="M4" t="s">
        <v>36</v>
      </c>
    </row>
    <row r="5" spans="1:13" ht="12.75">
      <c r="A5" t="s">
        <v>3</v>
      </c>
      <c r="B5" s="11">
        <v>103</v>
      </c>
      <c r="C5" t="s">
        <v>7</v>
      </c>
      <c r="K5" t="s">
        <v>31</v>
      </c>
      <c r="L5" s="11">
        <v>6500</v>
      </c>
      <c r="M5" t="s">
        <v>37</v>
      </c>
    </row>
    <row r="6" spans="1:15" ht="12.75">
      <c r="A6" t="s">
        <v>4</v>
      </c>
      <c r="B6" s="11">
        <v>142</v>
      </c>
      <c r="C6" t="s">
        <v>7</v>
      </c>
      <c r="D6" t="s">
        <v>25</v>
      </c>
      <c r="K6" t="s">
        <v>38</v>
      </c>
      <c r="L6" s="1">
        <f>C33</f>
        <v>65.64951832756265</v>
      </c>
      <c r="M6" t="s">
        <v>39</v>
      </c>
      <c r="N6">
        <f>A33</f>
        <v>90</v>
      </c>
      <c r="O6" t="s">
        <v>28</v>
      </c>
    </row>
    <row r="7" spans="1:13" ht="12.75">
      <c r="A7" t="s">
        <v>5</v>
      </c>
      <c r="B7" s="11">
        <v>200.818</v>
      </c>
      <c r="C7" t="s">
        <v>7</v>
      </c>
      <c r="K7" t="s">
        <v>40</v>
      </c>
      <c r="L7" s="11">
        <v>-1180</v>
      </c>
      <c r="M7" t="s">
        <v>37</v>
      </c>
    </row>
    <row r="8" spans="1:13" ht="12.75">
      <c r="A8" t="s">
        <v>6</v>
      </c>
      <c r="B8" s="11">
        <v>39</v>
      </c>
      <c r="C8" t="s">
        <v>7</v>
      </c>
      <c r="D8" t="s">
        <v>64</v>
      </c>
      <c r="E8" s="11">
        <v>1</v>
      </c>
      <c r="F8" s="10" t="s">
        <v>98</v>
      </c>
      <c r="K8" t="s">
        <v>41</v>
      </c>
      <c r="L8">
        <f>ABS(L6*(L5-L7)/SIN(RADIANS((N6-B9))))</f>
        <v>516429.7478210868</v>
      </c>
      <c r="M8" t="s">
        <v>33</v>
      </c>
    </row>
    <row r="9" spans="1:6" ht="12.75">
      <c r="A9" t="s">
        <v>27</v>
      </c>
      <c r="B9" s="11">
        <v>12.5</v>
      </c>
      <c r="C9" t="s">
        <v>28</v>
      </c>
      <c r="F9" s="10" t="s">
        <v>97</v>
      </c>
    </row>
    <row r="10" spans="1:6" ht="12.75">
      <c r="A10" t="s">
        <v>8</v>
      </c>
      <c r="B10">
        <f>DEGREES(ASIN($B$6/B7))</f>
        <v>45.0000929709727</v>
      </c>
      <c r="D10" t="s">
        <v>66</v>
      </c>
      <c r="E10" s="11">
        <v>6</v>
      </c>
      <c r="F10" t="s">
        <v>67</v>
      </c>
    </row>
    <row r="11" spans="1:2" ht="12.75">
      <c r="A11" t="s">
        <v>9</v>
      </c>
      <c r="B11">
        <f>DEGREES(ACOS((B5^2+B7^2-(B4+B8)^2)/(2*B5*B7)))</f>
        <v>67.85659417943485</v>
      </c>
    </row>
    <row r="12" spans="1:21" ht="12.75">
      <c r="A12" t="s">
        <v>10</v>
      </c>
      <c r="B12">
        <f>DEGREES(ACOS((B5^2+B7^2-(B4-B8)^2)/(2*B5*B7)))</f>
        <v>20.14854354704951</v>
      </c>
      <c r="I12" s="51" t="s">
        <v>82</v>
      </c>
      <c r="J12" s="52"/>
      <c r="K12" s="53"/>
      <c r="M12" t="s">
        <v>29</v>
      </c>
      <c r="N12" t="s">
        <v>29</v>
      </c>
      <c r="O12" t="s">
        <v>31</v>
      </c>
      <c r="P12" t="s">
        <v>34</v>
      </c>
      <c r="Q12" s="10" t="s">
        <v>83</v>
      </c>
      <c r="R12" s="10" t="s">
        <v>13</v>
      </c>
      <c r="S12" s="10" t="s">
        <v>102</v>
      </c>
      <c r="T12" s="10" t="s">
        <v>109</v>
      </c>
      <c r="U12" s="10" t="s">
        <v>105</v>
      </c>
    </row>
    <row r="13" spans="1:21" ht="12.75">
      <c r="A13" t="s">
        <v>11</v>
      </c>
      <c r="B13" s="10" t="s">
        <v>73</v>
      </c>
      <c r="C13" s="10" t="s">
        <v>32</v>
      </c>
      <c r="I13" t="s">
        <v>18</v>
      </c>
      <c r="J13" t="s">
        <v>19</v>
      </c>
      <c r="K13" t="s">
        <v>21</v>
      </c>
      <c r="M13" t="s">
        <v>30</v>
      </c>
      <c r="N13" t="s">
        <v>32</v>
      </c>
      <c r="O13" t="s">
        <v>32</v>
      </c>
      <c r="P13" t="s">
        <v>32</v>
      </c>
      <c r="Q13" s="10" t="s">
        <v>99</v>
      </c>
      <c r="R13" s="10" t="s">
        <v>78</v>
      </c>
      <c r="S13" s="10" t="s">
        <v>78</v>
      </c>
      <c r="T13" s="10" t="s">
        <v>78</v>
      </c>
      <c r="U13" s="10" t="s">
        <v>111</v>
      </c>
    </row>
    <row r="14" spans="1:20" ht="12.75">
      <c r="A14" t="s">
        <v>12</v>
      </c>
      <c r="B14" s="10" t="s">
        <v>18</v>
      </c>
      <c r="C14" s="10" t="s">
        <v>74</v>
      </c>
      <c r="D14" t="s">
        <v>14</v>
      </c>
      <c r="E14" t="s">
        <v>15</v>
      </c>
      <c r="F14" t="s">
        <v>16</v>
      </c>
      <c r="G14" t="s">
        <v>17</v>
      </c>
      <c r="I14" s="10" t="s">
        <v>88</v>
      </c>
      <c r="J14" t="s">
        <v>20</v>
      </c>
      <c r="K14" t="s">
        <v>26</v>
      </c>
      <c r="N14" s="10" t="s">
        <v>89</v>
      </c>
      <c r="O14" s="10" t="s">
        <v>89</v>
      </c>
      <c r="P14" s="10" t="s">
        <v>89</v>
      </c>
      <c r="Q14" s="10" t="s">
        <v>85</v>
      </c>
      <c r="R14" s="10" t="s">
        <v>79</v>
      </c>
      <c r="S14" s="10" t="s">
        <v>89</v>
      </c>
      <c r="T14" s="10" t="s">
        <v>89</v>
      </c>
    </row>
    <row r="15" spans="1:21" ht="12.75">
      <c r="A15">
        <f>IF(E8&gt;0,0,360)</f>
        <v>0</v>
      </c>
      <c r="B15" s="1">
        <f aca="true" t="shared" si="0" ref="B15:B46">($B$11-F15)/($B$11-$B$12)</f>
        <v>0.01824271666040416</v>
      </c>
      <c r="C15" s="1">
        <f>$E$8*$B$8*$B$3/$B$5*SIN(RADIANS(G15))/SIN(RADIANS(D15))</f>
        <v>-20.483944083539296</v>
      </c>
      <c r="D15">
        <f aca="true" t="shared" si="1" ref="D15:D46">DEGREES(ACOS(($B$5^2+$B$4^2-$B$7^2-$B$8^2+2*$B$7*$B$8*COS(RADIANS(A15-$B$10)))/(2*$B$5*$B$4)))</f>
        <v>86.19460493902432</v>
      </c>
      <c r="E15">
        <f aca="true" t="shared" si="2" ref="E15:E46">SQRT($B$8^2+$B$7^2-2*$B$8*$B$7*COS(RADIANS(A15-$B$10)))</f>
        <v>175.42207691415362</v>
      </c>
      <c r="F15">
        <f>DEGREES(ACOS(($B$5^2+E15^2-$B$4^2)/(2*$B$5*E15)))-DEGREES(ASIN($B$8*SIN(RADIANS(A15-$B$10))/E15))</f>
        <v>66.98626972932803</v>
      </c>
      <c r="G15">
        <f aca="true" t="shared" si="3" ref="G15:G46">D15+F15-(A15-$B$10)</f>
        <v>198.18096763932505</v>
      </c>
      <c r="I15">
        <f aca="true" t="shared" si="4" ref="I15:I46">$B$3*B15*($B$11-$B$12)*2*3.1415/360</f>
        <v>2.627797205454612</v>
      </c>
      <c r="J15">
        <f>(I15-I86)/10*$E$10</f>
        <v>-1.2458301754991683</v>
      </c>
      <c r="K15">
        <f>(J15-J86)/0.8333*$E$8*$E$10</f>
        <v>2.4121551660715665</v>
      </c>
      <c r="M15" s="11">
        <v>4745</v>
      </c>
      <c r="N15">
        <f>C15*(M15-$L$7)</f>
        <v>-121367.36869497033</v>
      </c>
      <c r="O15">
        <f>$E$8*$L$8*SIN(RADIANS(A15-$B$9))</f>
        <v>-111775.85524454784</v>
      </c>
      <c r="P15">
        <f>N15-O15</f>
        <v>-9591.513450422484</v>
      </c>
      <c r="Q15">
        <f>IF(($F$3+O15)/C15+$L$7,($F$3+O15)/C15+$L$7,$F$4)</f>
        <v>-11345.236924405546</v>
      </c>
      <c r="S15">
        <f>IF(P15&lt;0,(P87+P15)/2,0)</f>
        <v>-9581.2714783806</v>
      </c>
      <c r="T15">
        <f>IF(P15&gt;=0,(P87+P15)/2,0)</f>
        <v>0</v>
      </c>
      <c r="U15">
        <f>P15^2</f>
        <v>91997130.26963542</v>
      </c>
    </row>
    <row r="16" spans="1:21" ht="12.75">
      <c r="A16">
        <f>A15+$E$8*5</f>
        <v>5</v>
      </c>
      <c r="B16" s="1">
        <f t="shared" si="0"/>
        <v>0.007898620819919886</v>
      </c>
      <c r="C16" s="1">
        <f aca="true" t="shared" si="5" ref="C16:C79">$E$8*$B$8*$B$3/$B$5*SIN(RADIANS(G16))/SIN(RADIANS(D16))</f>
        <v>-13.621617326334137</v>
      </c>
      <c r="D16">
        <f t="shared" si="1"/>
        <v>84.46550262008348</v>
      </c>
      <c r="E16">
        <f t="shared" si="2"/>
        <v>172.77070194149496</v>
      </c>
      <c r="F16">
        <f aca="true" t="shared" si="6" ref="F16:F79">DEGREES(ACOS(($B$5^2+E16^2-$B$4^2)/(2*$B$5*E16)))-DEGREES(ASIN($B$8*SIN(RADIANS(A16-$B$10))/E16))</f>
        <v>67.4797663774321</v>
      </c>
      <c r="G16">
        <f t="shared" si="3"/>
        <v>191.9453619684883</v>
      </c>
      <c r="I16">
        <f t="shared" si="4"/>
        <v>1.1377676967697448</v>
      </c>
      <c r="J16">
        <f>(I16-I15)/10*$E$10</f>
        <v>-0.8940177052109205</v>
      </c>
      <c r="K16">
        <f>(J16-J15)/0.8333*$E$8*$E$10</f>
        <v>2.533151112119869</v>
      </c>
      <c r="M16" s="11">
        <v>4519</v>
      </c>
      <c r="N16">
        <f aca="true" t="shared" si="7" ref="N16:N79">C16*(M16-$L$7)</f>
        <v>-77629.59714277825</v>
      </c>
      <c r="O16">
        <f aca="true" t="shared" si="8" ref="O16:O79">$E$8*$L$8*SIN(RADIANS(A16-$B$9))</f>
        <v>-67407.60853224793</v>
      </c>
      <c r="P16">
        <f aca="true" t="shared" si="9" ref="P16:P79">N16-O16</f>
        <v>-10221.988610530316</v>
      </c>
      <c r="Q16">
        <f aca="true" t="shared" si="10" ref="Q16:Q79">IF(($F$3+O16)/C16+$L$7,($F$3+O16)/C16+$L$7,$F$4)</f>
        <v>-19723.494903459454</v>
      </c>
      <c r="R16">
        <f>(M16+M15)/2*(I16-I15)/12</f>
        <v>-575.1513903523588</v>
      </c>
      <c r="S16">
        <f>IF(P16&lt;0,(P15+P16)/2,0)</f>
        <v>-9906.7510304764</v>
      </c>
      <c r="T16">
        <f>IF(P16&gt;=0,(P15+P16)/2,0)</f>
        <v>0</v>
      </c>
      <c r="U16">
        <f aca="true" t="shared" si="11" ref="U16:U79">P16^2</f>
        <v>104489051.1538115</v>
      </c>
    </row>
    <row r="17" spans="1:21" ht="12.75">
      <c r="A17">
        <f aca="true" t="shared" si="12" ref="A17:A80">A16+$E$8*5</f>
        <v>10</v>
      </c>
      <c r="B17" s="1">
        <f t="shared" si="0"/>
        <v>0.001785643377075904</v>
      </c>
      <c r="C17" s="1">
        <f t="shared" si="5"/>
        <v>-6.527080476973485</v>
      </c>
      <c r="D17">
        <f t="shared" si="1"/>
        <v>82.90314210869855</v>
      </c>
      <c r="E17">
        <f t="shared" si="2"/>
        <v>170.34625512346807</v>
      </c>
      <c r="F17">
        <f t="shared" si="6"/>
        <v>67.77140461478993</v>
      </c>
      <c r="G17">
        <f t="shared" si="3"/>
        <v>185.67463969446118</v>
      </c>
      <c r="I17">
        <f t="shared" si="4"/>
        <v>0.2572154555468846</v>
      </c>
      <c r="J17">
        <f aca="true" t="shared" si="13" ref="J17:J80">(I17-I16)/10*$E$10</f>
        <v>-0.5283313447337161</v>
      </c>
      <c r="K17">
        <f aca="true" t="shared" si="14" ref="K17:K80">(J17-J16)/0.8333*$E$8*$E$10</f>
        <v>2.6330471173205643</v>
      </c>
      <c r="M17" s="11">
        <v>4293</v>
      </c>
      <c r="N17">
        <f t="shared" si="7"/>
        <v>-35722.71145047589</v>
      </c>
      <c r="O17">
        <f t="shared" si="8"/>
        <v>-22526.34921719077</v>
      </c>
      <c r="P17">
        <f t="shared" si="9"/>
        <v>-13196.362233285116</v>
      </c>
      <c r="Q17">
        <f t="shared" si="10"/>
        <v>-46755.29998783523</v>
      </c>
      <c r="R17">
        <f aca="true" t="shared" si="15" ref="R17:R80">(M17+M16)/2*(I17-I16)/12</f>
        <v>-323.30943123566016</v>
      </c>
      <c r="S17">
        <f aca="true" t="shared" si="16" ref="S17:S80">IF(P17&lt;0,(P16+P17)/2,0)</f>
        <v>-11709.175421907716</v>
      </c>
      <c r="T17">
        <f aca="true" t="shared" si="17" ref="T17:T80">IF(P17&gt;=0,(P16+P17)/2,0)</f>
        <v>0</v>
      </c>
      <c r="U17">
        <f t="shared" si="11"/>
        <v>174143976.19207373</v>
      </c>
    </row>
    <row r="18" spans="1:21" ht="12.75">
      <c r="A18">
        <f t="shared" si="12"/>
        <v>15</v>
      </c>
      <c r="B18" s="1">
        <f t="shared" si="0"/>
        <v>2.164035954455547E-05</v>
      </c>
      <c r="C18" s="1">
        <f t="shared" si="5"/>
        <v>0.7219038766085749</v>
      </c>
      <c r="D18">
        <f t="shared" si="1"/>
        <v>81.51980163780924</v>
      </c>
      <c r="E18">
        <f t="shared" si="2"/>
        <v>168.17737555494813</v>
      </c>
      <c r="F18">
        <f t="shared" si="6"/>
        <v>67.855561760066</v>
      </c>
      <c r="G18">
        <f t="shared" si="3"/>
        <v>179.37545636884792</v>
      </c>
      <c r="I18">
        <f t="shared" si="4"/>
        <v>0.003117215346530304</v>
      </c>
      <c r="J18">
        <f t="shared" si="13"/>
        <v>-0.15245894412021255</v>
      </c>
      <c r="K18">
        <f t="shared" si="14"/>
        <v>2.7063895399988254</v>
      </c>
      <c r="M18" s="11">
        <v>4067</v>
      </c>
      <c r="N18">
        <f t="shared" si="7"/>
        <v>3787.8296405651927</v>
      </c>
      <c r="O18">
        <f t="shared" si="8"/>
        <v>22526.34921719077</v>
      </c>
      <c r="P18">
        <f t="shared" si="9"/>
        <v>-18738.51957662558</v>
      </c>
      <c r="Q18">
        <f t="shared" si="10"/>
        <v>473296.3954258591</v>
      </c>
      <c r="R18">
        <f t="shared" si="15"/>
        <v>-88.5108870031234</v>
      </c>
      <c r="S18">
        <f t="shared" si="16"/>
        <v>-15967.440904955347</v>
      </c>
      <c r="T18">
        <f t="shared" si="17"/>
        <v>0</v>
      </c>
      <c r="U18">
        <f t="shared" si="11"/>
        <v>351132115.92358005</v>
      </c>
    </row>
    <row r="19" spans="1:21" ht="12.75">
      <c r="A19">
        <f t="shared" si="12"/>
        <v>20</v>
      </c>
      <c r="B19" s="1">
        <f t="shared" si="0"/>
        <v>0.0026730340892893475</v>
      </c>
      <c r="C19" s="1">
        <f t="shared" si="5"/>
        <v>8.03349790221722</v>
      </c>
      <c r="D19">
        <f t="shared" si="1"/>
        <v>80.32701391748067</v>
      </c>
      <c r="E19">
        <f t="shared" si="2"/>
        <v>166.29086663384186</v>
      </c>
      <c r="F19">
        <f t="shared" si="6"/>
        <v>67.72906893376094</v>
      </c>
      <c r="G19">
        <f t="shared" si="3"/>
        <v>173.05617582221433</v>
      </c>
      <c r="I19">
        <f t="shared" si="4"/>
        <v>0.38504087086796</v>
      </c>
      <c r="J19">
        <f t="shared" si="13"/>
        <v>0.2291541933128578</v>
      </c>
      <c r="K19">
        <f t="shared" si="14"/>
        <v>2.7477244984980462</v>
      </c>
      <c r="M19" s="11">
        <v>4216</v>
      </c>
      <c r="N19">
        <f t="shared" si="7"/>
        <v>43348.75468036412</v>
      </c>
      <c r="O19">
        <f t="shared" si="8"/>
        <v>67407.60853224793</v>
      </c>
      <c r="P19">
        <f t="shared" si="9"/>
        <v>-24058.85385188381</v>
      </c>
      <c r="Q19">
        <f t="shared" si="10"/>
        <v>47044.0256047524</v>
      </c>
      <c r="R19">
        <f t="shared" si="15"/>
        <v>131.81140161183342</v>
      </c>
      <c r="S19">
        <f t="shared" si="16"/>
        <v>-21398.686714254694</v>
      </c>
      <c r="T19">
        <f t="shared" si="17"/>
        <v>0</v>
      </c>
      <c r="U19">
        <f t="shared" si="11"/>
        <v>578828448.6663045</v>
      </c>
    </row>
    <row r="20" spans="1:21" ht="12.75">
      <c r="A20">
        <f t="shared" si="12"/>
        <v>25</v>
      </c>
      <c r="B20" s="1">
        <f t="shared" si="0"/>
        <v>0.009746798583653148</v>
      </c>
      <c r="C20" s="1">
        <f t="shared" si="5"/>
        <v>15.303721827968783</v>
      </c>
      <c r="D20">
        <f t="shared" si="1"/>
        <v>79.3352714862491</v>
      </c>
      <c r="E20">
        <f t="shared" si="2"/>
        <v>164.71100990784558</v>
      </c>
      <c r="F20">
        <f t="shared" si="6"/>
        <v>67.39159341910226</v>
      </c>
      <c r="G20">
        <f t="shared" si="3"/>
        <v>166.72695787632406</v>
      </c>
      <c r="I20">
        <f t="shared" si="4"/>
        <v>1.403991004028743</v>
      </c>
      <c r="J20">
        <f t="shared" si="13"/>
        <v>0.6113700798964699</v>
      </c>
      <c r="K20">
        <f t="shared" si="14"/>
        <v>2.752064465980646</v>
      </c>
      <c r="M20" s="11">
        <v>4370</v>
      </c>
      <c r="N20">
        <f t="shared" si="7"/>
        <v>84935.65614522675</v>
      </c>
      <c r="O20">
        <f t="shared" si="8"/>
        <v>111775.85524454784</v>
      </c>
      <c r="P20">
        <f t="shared" si="9"/>
        <v>-26840.199099321093</v>
      </c>
      <c r="Q20">
        <f t="shared" si="10"/>
        <v>27033.780941538203</v>
      </c>
      <c r="R20">
        <f t="shared" si="15"/>
        <v>364.5294101382701</v>
      </c>
      <c r="S20">
        <f t="shared" si="16"/>
        <v>-25449.52647560245</v>
      </c>
      <c r="T20">
        <f t="shared" si="17"/>
        <v>0</v>
      </c>
      <c r="U20">
        <f t="shared" si="11"/>
        <v>720396287.6911968</v>
      </c>
    </row>
    <row r="21" spans="1:21" ht="12.75">
      <c r="A21">
        <f t="shared" si="12"/>
        <v>30</v>
      </c>
      <c r="B21" s="1">
        <f t="shared" si="0"/>
        <v>0.021184064687601388</v>
      </c>
      <c r="C21" s="1">
        <f t="shared" si="5"/>
        <v>22.41987509883812</v>
      </c>
      <c r="D21">
        <f t="shared" si="1"/>
        <v>78.55371789576468</v>
      </c>
      <c r="E21">
        <f t="shared" si="2"/>
        <v>163.45887213870847</v>
      </c>
      <c r="F21">
        <f t="shared" si="6"/>
        <v>66.84594374871904</v>
      </c>
      <c r="G21">
        <f t="shared" si="3"/>
        <v>160.39975461545643</v>
      </c>
      <c r="I21">
        <f t="shared" si="4"/>
        <v>3.0514877264456377</v>
      </c>
      <c r="J21">
        <f t="shared" si="13"/>
        <v>0.9884980334501368</v>
      </c>
      <c r="K21">
        <f t="shared" si="14"/>
        <v>2.715429882781713</v>
      </c>
      <c r="M21" s="11">
        <v>4519</v>
      </c>
      <c r="N21">
        <f t="shared" si="7"/>
        <v>127770.86818827844</v>
      </c>
      <c r="O21">
        <f t="shared" si="8"/>
        <v>155293.42020633005</v>
      </c>
      <c r="P21">
        <f t="shared" si="9"/>
        <v>-27522.552018051603</v>
      </c>
      <c r="Q21">
        <f t="shared" si="10"/>
        <v>20019.646211720486</v>
      </c>
      <c r="R21">
        <f t="shared" si="15"/>
        <v>610.1915985651573</v>
      </c>
      <c r="S21">
        <f t="shared" si="16"/>
        <v>-27181.375558686348</v>
      </c>
      <c r="T21">
        <f t="shared" si="17"/>
        <v>0</v>
      </c>
      <c r="U21">
        <f t="shared" si="11"/>
        <v>757490869.5863564</v>
      </c>
    </row>
    <row r="22" spans="1:21" ht="12.75">
      <c r="A22">
        <f t="shared" si="12"/>
        <v>35</v>
      </c>
      <c r="B22" s="1">
        <f t="shared" si="0"/>
        <v>0.03685623696230818</v>
      </c>
      <c r="C22" s="1">
        <f t="shared" si="5"/>
        <v>29.265376245408564</v>
      </c>
      <c r="D22">
        <f t="shared" si="1"/>
        <v>77.98984599813696</v>
      </c>
      <c r="E22">
        <f t="shared" si="2"/>
        <v>162.55164692106004</v>
      </c>
      <c r="F22">
        <f t="shared" si="6"/>
        <v>66.09825496031786</v>
      </c>
      <c r="G22">
        <f t="shared" si="3"/>
        <v>154.08819392942752</v>
      </c>
      <c r="I22">
        <f t="shared" si="4"/>
        <v>5.309007331311625</v>
      </c>
      <c r="J22">
        <f t="shared" si="13"/>
        <v>1.354511762919592</v>
      </c>
      <c r="K22">
        <f t="shared" si="14"/>
        <v>2.635404268350811</v>
      </c>
      <c r="M22" s="11">
        <v>4894</v>
      </c>
      <c r="N22">
        <f t="shared" si="7"/>
        <v>177757.8953146116</v>
      </c>
      <c r="O22">
        <f t="shared" si="8"/>
        <v>197629.10847161122</v>
      </c>
      <c r="P22">
        <f t="shared" si="9"/>
        <v>-19871.213156999613</v>
      </c>
      <c r="Q22">
        <f t="shared" si="10"/>
        <v>16507.42366853465</v>
      </c>
      <c r="R22">
        <f t="shared" si="15"/>
        <v>885.418001691814</v>
      </c>
      <c r="S22">
        <f t="shared" si="16"/>
        <v>-23696.882587525608</v>
      </c>
      <c r="T22">
        <f t="shared" si="17"/>
        <v>0</v>
      </c>
      <c r="U22">
        <f t="shared" si="11"/>
        <v>394865112.3309145</v>
      </c>
    </row>
    <row r="23" spans="1:21" ht="12.75">
      <c r="A23">
        <f t="shared" si="12"/>
        <v>40</v>
      </c>
      <c r="B23" s="1">
        <f t="shared" si="0"/>
        <v>0.056564398935801855</v>
      </c>
      <c r="C23" s="1">
        <f t="shared" si="5"/>
        <v>35.725704992689266</v>
      </c>
      <c r="D23">
        <f t="shared" si="1"/>
        <v>77.64922751219231</v>
      </c>
      <c r="E23">
        <f t="shared" si="2"/>
        <v>162.00207666106635</v>
      </c>
      <c r="F23">
        <f t="shared" si="6"/>
        <v>65.15801697101517</v>
      </c>
      <c r="G23">
        <f t="shared" si="3"/>
        <v>147.80733745418019</v>
      </c>
      <c r="I23">
        <f t="shared" si="4"/>
        <v>8.147896621907346</v>
      </c>
      <c r="J23">
        <f t="shared" si="13"/>
        <v>1.7033335743574332</v>
      </c>
      <c r="K23">
        <f t="shared" si="14"/>
        <v>2.5116175070527387</v>
      </c>
      <c r="M23" s="11">
        <v>5273</v>
      </c>
      <c r="N23">
        <f t="shared" si="7"/>
        <v>230537.97431782383</v>
      </c>
      <c r="O23">
        <f t="shared" si="8"/>
        <v>238460.7198897051</v>
      </c>
      <c r="P23">
        <f t="shared" si="9"/>
        <v>-7922.745571881271</v>
      </c>
      <c r="Q23">
        <f t="shared" si="10"/>
        <v>14451.902015761081</v>
      </c>
      <c r="R23">
        <f t="shared" si="15"/>
        <v>1202.6244757286127</v>
      </c>
      <c r="S23">
        <f t="shared" si="16"/>
        <v>-13896.979364440442</v>
      </c>
      <c r="T23">
        <f t="shared" si="17"/>
        <v>0</v>
      </c>
      <c r="U23">
        <f t="shared" si="11"/>
        <v>62769897.396764286</v>
      </c>
    </row>
    <row r="24" spans="1:21" ht="12.75">
      <c r="A24">
        <f t="shared" si="12"/>
        <v>45</v>
      </c>
      <c r="B24" s="1">
        <f t="shared" si="0"/>
        <v>0.08004251559760728</v>
      </c>
      <c r="C24" s="1">
        <f t="shared" si="5"/>
        <v>41.6948848360838</v>
      </c>
      <c r="D24">
        <f t="shared" si="1"/>
        <v>77.53529812747497</v>
      </c>
      <c r="E24">
        <f t="shared" si="2"/>
        <v>161.81800000006373</v>
      </c>
      <c r="F24">
        <f t="shared" si="6"/>
        <v>64.03792179256071</v>
      </c>
      <c r="G24">
        <f t="shared" si="3"/>
        <v>141.57331289100838</v>
      </c>
      <c r="I24">
        <f t="shared" si="4"/>
        <v>11.52983421934536</v>
      </c>
      <c r="J24">
        <f t="shared" si="13"/>
        <v>2.029162558462809</v>
      </c>
      <c r="K24">
        <f t="shared" si="14"/>
        <v>2.346062528059827</v>
      </c>
      <c r="M24" s="11">
        <v>5648</v>
      </c>
      <c r="N24">
        <f t="shared" si="7"/>
        <v>284692.6736607802</v>
      </c>
      <c r="O24">
        <f t="shared" si="8"/>
        <v>277477.50124291895</v>
      </c>
      <c r="P24">
        <f t="shared" si="9"/>
        <v>7215.172417861235</v>
      </c>
      <c r="Q24">
        <f t="shared" si="10"/>
        <v>13149.755402654257</v>
      </c>
      <c r="R24">
        <f t="shared" si="15"/>
        <v>1538.9225209008564</v>
      </c>
      <c r="S24">
        <f t="shared" si="16"/>
        <v>0</v>
      </c>
      <c r="T24">
        <f t="shared" si="17"/>
        <v>-353.78657701001794</v>
      </c>
      <c r="U24">
        <f t="shared" si="11"/>
        <v>52058713.019465536</v>
      </c>
    </row>
    <row r="25" spans="1:21" ht="12.75">
      <c r="A25">
        <f t="shared" si="12"/>
        <v>50</v>
      </c>
      <c r="B25" s="1">
        <f t="shared" si="0"/>
        <v>0.10696454283258643</v>
      </c>
      <c r="C25" s="1">
        <f t="shared" si="5"/>
        <v>47.0817668811643</v>
      </c>
      <c r="D25">
        <f t="shared" si="1"/>
        <v>77.64921904603362</v>
      </c>
      <c r="E25">
        <f t="shared" si="2"/>
        <v>162.00206298700803</v>
      </c>
      <c r="F25">
        <f t="shared" si="6"/>
        <v>62.75352435410787</v>
      </c>
      <c r="G25">
        <f t="shared" si="3"/>
        <v>135.4028363711142</v>
      </c>
      <c r="I25">
        <f t="shared" si="4"/>
        <v>15.407854650743316</v>
      </c>
      <c r="J25">
        <f t="shared" si="13"/>
        <v>2.326812258838773</v>
      </c>
      <c r="K25">
        <f t="shared" si="14"/>
        <v>2.1431635692497117</v>
      </c>
      <c r="M25" s="11">
        <v>6191</v>
      </c>
      <c r="N25">
        <f t="shared" si="7"/>
        <v>347039.70368106203</v>
      </c>
      <c r="O25">
        <f t="shared" si="8"/>
        <v>314382.51126617804</v>
      </c>
      <c r="P25">
        <f t="shared" si="9"/>
        <v>32657.19241488399</v>
      </c>
      <c r="Q25">
        <f t="shared" si="10"/>
        <v>12294.059137741735</v>
      </c>
      <c r="R25">
        <f t="shared" si="15"/>
        <v>1912.9951619716828</v>
      </c>
      <c r="S25">
        <f t="shared" si="16"/>
        <v>0</v>
      </c>
      <c r="T25">
        <f t="shared" si="17"/>
        <v>19936.182416372612</v>
      </c>
      <c r="U25">
        <f t="shared" si="11"/>
        <v>1066492216.4227564</v>
      </c>
    </row>
    <row r="26" spans="1:21" ht="12.75">
      <c r="A26">
        <f t="shared" si="12"/>
        <v>55</v>
      </c>
      <c r="B26" s="1">
        <f t="shared" si="0"/>
        <v>0.1369550831676195</v>
      </c>
      <c r="C26" s="1">
        <f t="shared" si="5"/>
        <v>51.81532661720318</v>
      </c>
      <c r="D26">
        <f t="shared" si="1"/>
        <v>77.9898291518832</v>
      </c>
      <c r="E26">
        <f t="shared" si="2"/>
        <v>162.55161976911944</v>
      </c>
      <c r="F26">
        <f t="shared" si="6"/>
        <v>61.322734137311514</v>
      </c>
      <c r="G26">
        <f t="shared" si="3"/>
        <v>129.31265626016742</v>
      </c>
      <c r="I26">
        <f t="shared" si="4"/>
        <v>19.7278832709065</v>
      </c>
      <c r="J26">
        <f t="shared" si="13"/>
        <v>2.5920171720979104</v>
      </c>
      <c r="K26">
        <f t="shared" si="14"/>
        <v>1.9095517575360907</v>
      </c>
      <c r="M26" s="11">
        <v>6688</v>
      </c>
      <c r="N26">
        <f t="shared" si="7"/>
        <v>407682.98982415465</v>
      </c>
      <c r="O26">
        <f t="shared" si="8"/>
        <v>348894.8805493511</v>
      </c>
      <c r="P26">
        <f t="shared" si="9"/>
        <v>58788.109274803544</v>
      </c>
      <c r="Q26">
        <f t="shared" si="10"/>
        <v>11729.208997001124</v>
      </c>
      <c r="R26">
        <f t="shared" si="15"/>
        <v>2318.2353582950686</v>
      </c>
      <c r="S26">
        <f t="shared" si="16"/>
        <v>0</v>
      </c>
      <c r="T26">
        <f t="shared" si="17"/>
        <v>45722.65084484377</v>
      </c>
      <c r="U26">
        <f t="shared" si="11"/>
        <v>3456041792.1062427</v>
      </c>
    </row>
    <row r="27" spans="1:21" ht="12.75">
      <c r="A27">
        <f t="shared" si="12"/>
        <v>60</v>
      </c>
      <c r="B27" s="1">
        <f t="shared" si="0"/>
        <v>0.16960277479091254</v>
      </c>
      <c r="C27" s="1">
        <f t="shared" si="5"/>
        <v>55.84829505705808</v>
      </c>
      <c r="D27">
        <f t="shared" si="1"/>
        <v>78.5536928380175</v>
      </c>
      <c r="E27">
        <f t="shared" si="2"/>
        <v>163.45883189390892</v>
      </c>
      <c r="F27">
        <f t="shared" si="6"/>
        <v>59.76517641231695</v>
      </c>
      <c r="G27">
        <f t="shared" si="3"/>
        <v>123.31896222130715</v>
      </c>
      <c r="I27">
        <f t="shared" si="4"/>
        <v>24.43066490202419</v>
      </c>
      <c r="J27">
        <f t="shared" si="13"/>
        <v>2.8216689786706146</v>
      </c>
      <c r="K27">
        <f t="shared" si="14"/>
        <v>1.6535591496894577</v>
      </c>
      <c r="M27" s="11">
        <v>7230</v>
      </c>
      <c r="N27">
        <f t="shared" si="7"/>
        <v>469684.1614298585</v>
      </c>
      <c r="O27">
        <f t="shared" si="8"/>
        <v>380751.94912305486</v>
      </c>
      <c r="P27">
        <f t="shared" si="9"/>
        <v>88932.21230680362</v>
      </c>
      <c r="Q27">
        <f t="shared" si="10"/>
        <v>11367.418831803607</v>
      </c>
      <c r="R27">
        <f t="shared" si="15"/>
        <v>2727.221447579001</v>
      </c>
      <c r="S27">
        <f t="shared" si="16"/>
        <v>0</v>
      </c>
      <c r="T27">
        <f t="shared" si="17"/>
        <v>73860.16079080358</v>
      </c>
      <c r="U27">
        <f t="shared" si="11"/>
        <v>7908938385.7823925</v>
      </c>
    </row>
    <row r="28" spans="1:21" ht="12.75">
      <c r="A28">
        <f t="shared" si="12"/>
        <v>65</v>
      </c>
      <c r="B28" s="1">
        <f t="shared" si="0"/>
        <v>0.20447526030889343</v>
      </c>
      <c r="C28" s="1">
        <f t="shared" si="5"/>
        <v>59.1586987116306</v>
      </c>
      <c r="D28">
        <f t="shared" si="1"/>
        <v>79.33523846146532</v>
      </c>
      <c r="E28">
        <f t="shared" si="2"/>
        <v>164.710957130067</v>
      </c>
      <c r="F28">
        <f t="shared" si="6"/>
        <v>58.10147810754799</v>
      </c>
      <c r="G28">
        <f t="shared" si="3"/>
        <v>117.436809539986</v>
      </c>
      <c r="I28">
        <f t="shared" si="4"/>
        <v>29.453920028839082</v>
      </c>
      <c r="J28">
        <f t="shared" si="13"/>
        <v>3.013953076088935</v>
      </c>
      <c r="K28">
        <f t="shared" si="14"/>
        <v>1.3845008814471649</v>
      </c>
      <c r="M28" s="11">
        <v>7817</v>
      </c>
      <c r="N28">
        <f t="shared" si="7"/>
        <v>532250.8123085405</v>
      </c>
      <c r="O28">
        <f t="shared" si="8"/>
        <v>409711.2654596194</v>
      </c>
      <c r="P28">
        <f t="shared" si="9"/>
        <v>122539.54684892105</v>
      </c>
      <c r="Q28">
        <f t="shared" si="10"/>
        <v>11154.809273216117</v>
      </c>
      <c r="R28">
        <f t="shared" si="15"/>
        <v>3149.3716622159864</v>
      </c>
      <c r="S28">
        <f t="shared" si="16"/>
        <v>0</v>
      </c>
      <c r="T28">
        <f t="shared" si="17"/>
        <v>105735.87957786233</v>
      </c>
      <c r="U28">
        <f t="shared" si="11"/>
        <v>15015940541.938915</v>
      </c>
    </row>
    <row r="29" spans="1:21" ht="12.75">
      <c r="A29">
        <f t="shared" si="12"/>
        <v>70</v>
      </c>
      <c r="B29" s="1">
        <f t="shared" si="0"/>
        <v>0.24113442354965156</v>
      </c>
      <c r="C29" s="1">
        <f t="shared" si="5"/>
        <v>61.74921887819384</v>
      </c>
      <c r="D29">
        <f t="shared" si="1"/>
        <v>80.32697323680368</v>
      </c>
      <c r="E29">
        <f t="shared" si="2"/>
        <v>166.29080203839163</v>
      </c>
      <c r="F29">
        <f t="shared" si="6"/>
        <v>56.35254089151702</v>
      </c>
      <c r="G29">
        <f t="shared" si="3"/>
        <v>111.6796070992934</v>
      </c>
      <c r="I29">
        <f t="shared" si="4"/>
        <v>34.73453960494965</v>
      </c>
      <c r="J29">
        <f t="shared" si="13"/>
        <v>3.168371745666342</v>
      </c>
      <c r="K29">
        <f t="shared" si="14"/>
        <v>1.111858895313143</v>
      </c>
      <c r="M29" s="11">
        <v>8450</v>
      </c>
      <c r="N29">
        <f t="shared" si="7"/>
        <v>594644.9777970066</v>
      </c>
      <c r="O29">
        <f t="shared" si="8"/>
        <v>435552.43167561037</v>
      </c>
      <c r="P29">
        <f t="shared" si="9"/>
        <v>159092.54612139624</v>
      </c>
      <c r="Q29">
        <f t="shared" si="10"/>
        <v>11055.821689761111</v>
      </c>
      <c r="R29">
        <f t="shared" si="15"/>
        <v>3579.1599435246103</v>
      </c>
      <c r="S29">
        <f t="shared" si="16"/>
        <v>0</v>
      </c>
      <c r="T29">
        <f t="shared" si="17"/>
        <v>140816.04648515864</v>
      </c>
      <c r="U29">
        <f t="shared" si="11"/>
        <v>25310438231.38859</v>
      </c>
    </row>
    <row r="30" spans="1:21" ht="12.75">
      <c r="A30">
        <f t="shared" si="12"/>
        <v>75</v>
      </c>
      <c r="B30" s="1">
        <f t="shared" si="0"/>
        <v>0.2791506320615301</v>
      </c>
      <c r="C30" s="1">
        <f t="shared" si="5"/>
        <v>63.644615207493786</v>
      </c>
      <c r="D30">
        <f t="shared" si="1"/>
        <v>81.51975366827622</v>
      </c>
      <c r="E30">
        <f t="shared" si="2"/>
        <v>168.1772999892823</v>
      </c>
      <c r="F30">
        <f t="shared" si="6"/>
        <v>54.538861690981</v>
      </c>
      <c r="G30">
        <f t="shared" si="3"/>
        <v>106.05870833022993</v>
      </c>
      <c r="I30">
        <f t="shared" si="4"/>
        <v>40.21063663310363</v>
      </c>
      <c r="J30">
        <f t="shared" si="13"/>
        <v>3.2856582168923882</v>
      </c>
      <c r="K30">
        <f t="shared" si="14"/>
        <v>0.8444963726824397</v>
      </c>
      <c r="M30" s="11">
        <v>9038</v>
      </c>
      <c r="N30">
        <f t="shared" si="7"/>
        <v>650320.6781901715</v>
      </c>
      <c r="O30">
        <f t="shared" si="8"/>
        <v>458078.7808928011</v>
      </c>
      <c r="P30">
        <f t="shared" si="9"/>
        <v>192241.89729737036</v>
      </c>
      <c r="Q30">
        <f t="shared" si="10"/>
        <v>11045.3670378258</v>
      </c>
      <c r="R30">
        <f t="shared" si="15"/>
        <v>3990.2493678482</v>
      </c>
      <c r="S30">
        <f t="shared" si="16"/>
        <v>0</v>
      </c>
      <c r="T30">
        <f t="shared" si="17"/>
        <v>175667.2217093833</v>
      </c>
      <c r="U30">
        <f t="shared" si="11"/>
        <v>36956947076.49269</v>
      </c>
    </row>
    <row r="31" spans="1:21" ht="12.75">
      <c r="A31">
        <f t="shared" si="12"/>
        <v>80</v>
      </c>
      <c r="B31" s="1">
        <f t="shared" si="0"/>
        <v>0.3181149540221695</v>
      </c>
      <c r="C31" s="1">
        <f t="shared" si="5"/>
        <v>64.88771292677517</v>
      </c>
      <c r="D31">
        <f t="shared" si="1"/>
        <v>82.90308726174449</v>
      </c>
      <c r="E31">
        <f t="shared" si="2"/>
        <v>170.34616954178907</v>
      </c>
      <c r="F31">
        <f t="shared" si="6"/>
        <v>52.679949846026254</v>
      </c>
      <c r="G31">
        <f t="shared" si="3"/>
        <v>100.58313007874344</v>
      </c>
      <c r="I31">
        <f t="shared" si="4"/>
        <v>45.823305966659646</v>
      </c>
      <c r="J31">
        <f t="shared" si="13"/>
        <v>3.3676016001336078</v>
      </c>
      <c r="K31">
        <f t="shared" si="14"/>
        <v>0.5900159599751795</v>
      </c>
      <c r="M31" s="11">
        <v>8586</v>
      </c>
      <c r="N31">
        <f t="shared" si="7"/>
        <v>633693.4044428862</v>
      </c>
      <c r="O31">
        <f t="shared" si="8"/>
        <v>477118.87399186735</v>
      </c>
      <c r="P31">
        <f t="shared" si="9"/>
        <v>156574.5304510189</v>
      </c>
      <c r="Q31">
        <f t="shared" si="10"/>
        <v>11104.588838743697</v>
      </c>
      <c r="R31">
        <f t="shared" si="15"/>
        <v>4121.570180607966</v>
      </c>
      <c r="S31">
        <f t="shared" si="16"/>
        <v>0</v>
      </c>
      <c r="T31">
        <f t="shared" si="17"/>
        <v>174408.21387419463</v>
      </c>
      <c r="U31">
        <f t="shared" si="11"/>
        <v>24515583585.95704</v>
      </c>
    </row>
    <row r="32" spans="1:21" ht="12.75">
      <c r="A32">
        <f t="shared" si="12"/>
        <v>85</v>
      </c>
      <c r="B32" s="1">
        <f t="shared" si="0"/>
        <v>0.3576486662892133</v>
      </c>
      <c r="C32" s="1">
        <f t="shared" si="5"/>
        <v>65.5345803800262</v>
      </c>
      <c r="D32">
        <f t="shared" si="1"/>
        <v>84.46544134020141</v>
      </c>
      <c r="E32">
        <f t="shared" si="2"/>
        <v>172.7706073788741</v>
      </c>
      <c r="F32">
        <f t="shared" si="6"/>
        <v>50.793873499503974</v>
      </c>
      <c r="G32">
        <f t="shared" si="3"/>
        <v>95.25940781067808</v>
      </c>
      <c r="I32">
        <f t="shared" si="4"/>
        <v>51.517993909824966</v>
      </c>
      <c r="J32">
        <f t="shared" si="13"/>
        <v>3.416812765899192</v>
      </c>
      <c r="K32">
        <f t="shared" si="14"/>
        <v>0.35433456689488085</v>
      </c>
      <c r="M32" s="11">
        <v>8134</v>
      </c>
      <c r="N32">
        <f t="shared" si="7"/>
        <v>610389.081659564</v>
      </c>
      <c r="O32">
        <f t="shared" si="8"/>
        <v>492527.8043676027</v>
      </c>
      <c r="P32">
        <f t="shared" si="9"/>
        <v>117861.27729196136</v>
      </c>
      <c r="Q32">
        <f t="shared" si="10"/>
        <v>11218.45894573313</v>
      </c>
      <c r="R32">
        <f t="shared" si="15"/>
        <v>3967.2992670718395</v>
      </c>
      <c r="S32">
        <f t="shared" si="16"/>
        <v>0</v>
      </c>
      <c r="T32">
        <f t="shared" si="17"/>
        <v>137217.90387149013</v>
      </c>
      <c r="U32">
        <f t="shared" si="11"/>
        <v>13891280684.892607</v>
      </c>
    </row>
    <row r="33" spans="1:21" ht="12.75">
      <c r="A33">
        <f t="shared" si="12"/>
        <v>90</v>
      </c>
      <c r="B33" s="1">
        <f t="shared" si="0"/>
        <v>0.39740975457560407</v>
      </c>
      <c r="C33" s="1">
        <f t="shared" si="5"/>
        <v>65.64951832756265</v>
      </c>
      <c r="D33">
        <f t="shared" si="1"/>
        <v>86.1945376932931</v>
      </c>
      <c r="E33">
        <f t="shared" si="2"/>
        <v>175.4219744615822</v>
      </c>
      <c r="F33">
        <f t="shared" si="6"/>
        <v>48.8969494863381</v>
      </c>
      <c r="G33">
        <f t="shared" si="3"/>
        <v>90.0915801506039</v>
      </c>
      <c r="I33">
        <f t="shared" si="4"/>
        <v>57.24543454434376</v>
      </c>
      <c r="J33">
        <f t="shared" si="13"/>
        <v>3.4364643807112754</v>
      </c>
      <c r="K33">
        <f t="shared" si="14"/>
        <v>0.1414972865384631</v>
      </c>
      <c r="M33" s="11">
        <v>7682</v>
      </c>
      <c r="N33">
        <f t="shared" si="7"/>
        <v>581786.0314188602</v>
      </c>
      <c r="O33">
        <f t="shared" si="8"/>
        <v>504188.3007556811</v>
      </c>
      <c r="P33">
        <f t="shared" si="9"/>
        <v>77597.73066317907</v>
      </c>
      <c r="Q33">
        <f t="shared" si="10"/>
        <v>11374.369350333061</v>
      </c>
      <c r="R33">
        <f t="shared" si="15"/>
        <v>3774.3833781478843</v>
      </c>
      <c r="S33">
        <f t="shared" si="16"/>
        <v>0</v>
      </c>
      <c r="T33">
        <f t="shared" si="17"/>
        <v>97729.50397757022</v>
      </c>
      <c r="U33">
        <f t="shared" si="11"/>
        <v>6021407804.075281</v>
      </c>
    </row>
    <row r="34" spans="1:21" ht="12.75">
      <c r="A34">
        <f t="shared" si="12"/>
        <v>95</v>
      </c>
      <c r="B34" s="1">
        <f t="shared" si="0"/>
        <v>0.43709645450391293</v>
      </c>
      <c r="C34" s="1">
        <f t="shared" si="5"/>
        <v>65.30037421431493</v>
      </c>
      <c r="D34">
        <f t="shared" si="1"/>
        <v>88.07761648511128</v>
      </c>
      <c r="E34">
        <f t="shared" si="2"/>
        <v>178.2704420867537</v>
      </c>
      <c r="F34">
        <f t="shared" si="6"/>
        <v>47.00357439672606</v>
      </c>
      <c r="G34">
        <f t="shared" si="3"/>
        <v>85.08128385281003</v>
      </c>
      <c r="I34">
        <f t="shared" si="4"/>
        <v>62.96215980553714</v>
      </c>
      <c r="J34">
        <f t="shared" si="13"/>
        <v>3.4300351567160288</v>
      </c>
      <c r="K34">
        <f t="shared" si="14"/>
        <v>-0.046292264456353704</v>
      </c>
      <c r="M34" s="11">
        <v>7817</v>
      </c>
      <c r="N34">
        <f t="shared" si="7"/>
        <v>587507.4668061914</v>
      </c>
      <c r="O34">
        <f t="shared" si="8"/>
        <v>512011.61973778927</v>
      </c>
      <c r="P34">
        <f t="shared" si="9"/>
        <v>75495.8470684021</v>
      </c>
      <c r="Q34">
        <f t="shared" si="10"/>
        <v>11561.299414412828</v>
      </c>
      <c r="R34">
        <f t="shared" si="15"/>
        <v>3691.813534301509</v>
      </c>
      <c r="S34">
        <f t="shared" si="16"/>
        <v>0</v>
      </c>
      <c r="T34">
        <f t="shared" si="17"/>
        <v>76546.78886579059</v>
      </c>
      <c r="U34">
        <f t="shared" si="11"/>
        <v>5699622924.575558</v>
      </c>
    </row>
    <row r="35" spans="1:21" ht="12.75">
      <c r="A35">
        <f t="shared" si="12"/>
        <v>100</v>
      </c>
      <c r="B35" s="1">
        <f t="shared" si="0"/>
        <v>0.47644814505676997</v>
      </c>
      <c r="C35" s="1">
        <f t="shared" si="5"/>
        <v>64.55453050656939</v>
      </c>
      <c r="D35">
        <f t="shared" si="1"/>
        <v>90.10165820307652</v>
      </c>
      <c r="E35">
        <f t="shared" si="2"/>
        <v>181.2855742349998</v>
      </c>
      <c r="F35">
        <f t="shared" si="6"/>
        <v>45.126181951360394</v>
      </c>
      <c r="G35">
        <f t="shared" si="3"/>
        <v>80.22793312540963</v>
      </c>
      <c r="I35">
        <f t="shared" si="4"/>
        <v>68.63062818059883</v>
      </c>
      <c r="J35">
        <f t="shared" si="13"/>
        <v>3.4010810250370156</v>
      </c>
      <c r="K35">
        <f t="shared" si="14"/>
        <v>-0.20847808721238334</v>
      </c>
      <c r="M35" s="11">
        <v>7998</v>
      </c>
      <c r="N35">
        <f t="shared" si="7"/>
        <v>592481.4809892939</v>
      </c>
      <c r="O35">
        <f t="shared" si="8"/>
        <v>515938.2211326241</v>
      </c>
      <c r="P35">
        <f t="shared" si="9"/>
        <v>76543.25985666981</v>
      </c>
      <c r="Q35">
        <f t="shared" si="10"/>
        <v>11769.334687633656</v>
      </c>
      <c r="R35">
        <f t="shared" si="15"/>
        <v>3735.2844729833614</v>
      </c>
      <c r="S35">
        <f t="shared" si="16"/>
        <v>0</v>
      </c>
      <c r="T35">
        <f t="shared" si="17"/>
        <v>76019.55346253596</v>
      </c>
      <c r="U35">
        <f t="shared" si="11"/>
        <v>5858870629.485681</v>
      </c>
    </row>
    <row r="36" spans="1:21" ht="12.75">
      <c r="A36">
        <f t="shared" si="12"/>
        <v>105</v>
      </c>
      <c r="B36" s="1">
        <f t="shared" si="0"/>
        <v>0.5152440643742597</v>
      </c>
      <c r="C36" s="1">
        <f t="shared" si="5"/>
        <v>63.47574283629991</v>
      </c>
      <c r="D36">
        <f t="shared" si="1"/>
        <v>92.25355751103466</v>
      </c>
      <c r="E36">
        <f t="shared" si="2"/>
        <v>184.4368323094916</v>
      </c>
      <c r="F36">
        <f t="shared" si="6"/>
        <v>43.27530426823166</v>
      </c>
      <c r="G36">
        <f t="shared" si="3"/>
        <v>75.52895475023902</v>
      </c>
      <c r="I36">
        <f t="shared" si="4"/>
        <v>74.21903972386532</v>
      </c>
      <c r="J36">
        <f t="shared" si="13"/>
        <v>3.3530469259598927</v>
      </c>
      <c r="K36">
        <f t="shared" si="14"/>
        <v>-0.34585934772919374</v>
      </c>
      <c r="M36" s="11">
        <v>8134</v>
      </c>
      <c r="N36">
        <f t="shared" si="7"/>
        <v>591213.0687772974</v>
      </c>
      <c r="O36">
        <f t="shared" si="8"/>
        <v>515938.2211326241</v>
      </c>
      <c r="P36">
        <f t="shared" si="9"/>
        <v>75274.84764467331</v>
      </c>
      <c r="Q36">
        <f t="shared" si="10"/>
        <v>11989.41218456408</v>
      </c>
      <c r="R36">
        <f t="shared" si="15"/>
        <v>3756.343958998958</v>
      </c>
      <c r="S36">
        <f t="shared" si="16"/>
        <v>0</v>
      </c>
      <c r="T36">
        <f t="shared" si="17"/>
        <v>75909.05375067156</v>
      </c>
      <c r="U36">
        <f t="shared" si="11"/>
        <v>5666302687.92878</v>
      </c>
    </row>
    <row r="37" spans="1:21" ht="12.75">
      <c r="A37">
        <f t="shared" si="12"/>
        <v>110</v>
      </c>
      <c r="B37" s="1">
        <f t="shared" si="0"/>
        <v>0.55330037744574</v>
      </c>
      <c r="C37" s="1">
        <f t="shared" si="5"/>
        <v>62.12185501880344</v>
      </c>
      <c r="D37">
        <f t="shared" si="1"/>
        <v>94.52024704581339</v>
      </c>
      <c r="E37">
        <f t="shared" si="2"/>
        <v>187.69399689329174</v>
      </c>
      <c r="F37">
        <f t="shared" si="6"/>
        <v>41.45971175733557</v>
      </c>
      <c r="G37">
        <f t="shared" si="3"/>
        <v>70.98005177412168</v>
      </c>
      <c r="I37">
        <f t="shared" si="4"/>
        <v>79.7009136684517</v>
      </c>
      <c r="J37">
        <f t="shared" si="13"/>
        <v>3.28912436675183</v>
      </c>
      <c r="K37">
        <f t="shared" si="14"/>
        <v>-0.46026083673152124</v>
      </c>
      <c r="M37" s="11">
        <v>8224</v>
      </c>
      <c r="N37">
        <f t="shared" si="7"/>
        <v>584193.9245968275</v>
      </c>
      <c r="O37">
        <f t="shared" si="8"/>
        <v>512011.61973778927</v>
      </c>
      <c r="P37">
        <f t="shared" si="9"/>
        <v>72182.30485903821</v>
      </c>
      <c r="Q37">
        <f t="shared" si="10"/>
        <v>12213.219173605661</v>
      </c>
      <c r="R37">
        <f t="shared" si="15"/>
        <v>3736.3539160643354</v>
      </c>
      <c r="S37">
        <f t="shared" si="16"/>
        <v>0</v>
      </c>
      <c r="T37">
        <f t="shared" si="17"/>
        <v>73728.57625185576</v>
      </c>
      <c r="U37">
        <f t="shared" si="11"/>
        <v>5210285134.763131</v>
      </c>
    </row>
    <row r="38" spans="1:21" ht="12.75">
      <c r="A38">
        <f t="shared" si="12"/>
        <v>115</v>
      </c>
      <c r="B38" s="1">
        <f t="shared" si="0"/>
        <v>0.5904661069893535</v>
      </c>
      <c r="C38" s="1">
        <f t="shared" si="5"/>
        <v>60.543311175532395</v>
      </c>
      <c r="D38">
        <f t="shared" si="1"/>
        <v>96.8887721753206</v>
      </c>
      <c r="E38">
        <f t="shared" si="2"/>
        <v>191.0275078381681</v>
      </c>
      <c r="F38">
        <f t="shared" si="6"/>
        <v>39.68660725047931</v>
      </c>
      <c r="G38">
        <f t="shared" si="3"/>
        <v>66.5754723967726</v>
      </c>
      <c r="I38">
        <f t="shared" si="4"/>
        <v>85.05450228419606</v>
      </c>
      <c r="J38">
        <f t="shared" si="13"/>
        <v>3.212153169446614</v>
      </c>
      <c r="K38">
        <f t="shared" si="14"/>
        <v>-0.5542147891891231</v>
      </c>
      <c r="M38" s="11">
        <v>8269</v>
      </c>
      <c r="N38">
        <f t="shared" si="7"/>
        <v>572073.7472976056</v>
      </c>
      <c r="O38">
        <f t="shared" si="8"/>
        <v>504188.3007556811</v>
      </c>
      <c r="P38">
        <f t="shared" si="9"/>
        <v>67885.4465419245</v>
      </c>
      <c r="Q38">
        <f t="shared" si="10"/>
        <v>12433.2016031651</v>
      </c>
      <c r="R38">
        <f t="shared" si="15"/>
        <v>3679.030709977987</v>
      </c>
      <c r="S38">
        <f t="shared" si="16"/>
        <v>0</v>
      </c>
      <c r="T38">
        <f t="shared" si="17"/>
        <v>70033.87570048135</v>
      </c>
      <c r="U38">
        <f t="shared" si="11"/>
        <v>4608433852.196488</v>
      </c>
    </row>
    <row r="39" spans="1:21" ht="12.75">
      <c r="A39">
        <f t="shared" si="12"/>
        <v>120</v>
      </c>
      <c r="B39" s="1">
        <f t="shared" si="0"/>
        <v>0.6266183694502286</v>
      </c>
      <c r="C39" s="1">
        <f t="shared" si="5"/>
        <v>58.782322771993954</v>
      </c>
      <c r="D39">
        <f t="shared" si="1"/>
        <v>99.34631949283191</v>
      </c>
      <c r="E39">
        <f t="shared" si="2"/>
        <v>194.40872866012458</v>
      </c>
      <c r="F39">
        <f t="shared" si="6"/>
        <v>37.9618532825206</v>
      </c>
      <c r="G39">
        <f t="shared" si="3"/>
        <v>62.30826574632522</v>
      </c>
      <c r="I39">
        <f t="shared" si="4"/>
        <v>90.26210464046949</v>
      </c>
      <c r="J39">
        <f t="shared" si="13"/>
        <v>3.124561413764056</v>
      </c>
      <c r="K39">
        <f t="shared" si="14"/>
        <v>-0.630685868349152</v>
      </c>
      <c r="M39" s="11">
        <v>8360</v>
      </c>
      <c r="N39">
        <f t="shared" si="7"/>
        <v>560783.3592448223</v>
      </c>
      <c r="O39">
        <f t="shared" si="8"/>
        <v>492527.8043676027</v>
      </c>
      <c r="P39">
        <f t="shared" si="9"/>
        <v>68255.5548772196</v>
      </c>
      <c r="Q39">
        <f t="shared" si="10"/>
        <v>12642.655622494738</v>
      </c>
      <c r="R39">
        <f t="shared" si="15"/>
        <v>3608.21748260295</v>
      </c>
      <c r="S39">
        <f t="shared" si="16"/>
        <v>0</v>
      </c>
      <c r="T39">
        <f t="shared" si="17"/>
        <v>68070.50070957205</v>
      </c>
      <c r="U39">
        <f t="shared" si="11"/>
        <v>4658820771.597137</v>
      </c>
    </row>
    <row r="40" spans="1:21" ht="12.75">
      <c r="A40">
        <f t="shared" si="12"/>
        <v>125</v>
      </c>
      <c r="B40" s="1">
        <f t="shared" si="0"/>
        <v>0.6616572627544438</v>
      </c>
      <c r="C40" s="1">
        <f t="shared" si="5"/>
        <v>56.87252357969909</v>
      </c>
      <c r="D40">
        <f t="shared" si="1"/>
        <v>101.88020250348849</v>
      </c>
      <c r="E40">
        <f t="shared" si="2"/>
        <v>197.81014401022483</v>
      </c>
      <c r="F40">
        <f t="shared" si="6"/>
        <v>36.29021598666036</v>
      </c>
      <c r="G40">
        <f t="shared" si="3"/>
        <v>58.17051146112155</v>
      </c>
      <c r="I40">
        <f t="shared" si="4"/>
        <v>95.30933020566658</v>
      </c>
      <c r="J40">
        <f t="shared" si="13"/>
        <v>3.0283353391182573</v>
      </c>
      <c r="K40">
        <f t="shared" si="14"/>
        <v>-0.6928554516678164</v>
      </c>
      <c r="M40" s="11">
        <v>8134</v>
      </c>
      <c r="N40">
        <f t="shared" si="7"/>
        <v>529710.6846213173</v>
      </c>
      <c r="O40">
        <f t="shared" si="8"/>
        <v>477118.87399186735</v>
      </c>
      <c r="P40">
        <f t="shared" si="9"/>
        <v>52591.81062944996</v>
      </c>
      <c r="Q40">
        <f t="shared" si="10"/>
        <v>12835.887177484112</v>
      </c>
      <c r="R40">
        <f t="shared" si="15"/>
        <v>3468.705769681704</v>
      </c>
      <c r="S40">
        <f t="shared" si="16"/>
        <v>0</v>
      </c>
      <c r="T40">
        <f t="shared" si="17"/>
        <v>60423.68275333478</v>
      </c>
      <c r="U40">
        <f t="shared" si="11"/>
        <v>2765898545.2839255</v>
      </c>
    </row>
    <row r="41" spans="1:21" ht="12.75">
      <c r="A41">
        <f t="shared" si="12"/>
        <v>130</v>
      </c>
      <c r="B41" s="1">
        <f t="shared" si="0"/>
        <v>0.6955006508429279</v>
      </c>
      <c r="C41" s="1">
        <f t="shared" si="5"/>
        <v>54.8389476229366</v>
      </c>
      <c r="D41">
        <f t="shared" si="1"/>
        <v>104.47780779417546</v>
      </c>
      <c r="E41">
        <f t="shared" si="2"/>
        <v>201.20550025280593</v>
      </c>
      <c r="F41">
        <f t="shared" si="6"/>
        <v>34.67561391416349</v>
      </c>
      <c r="G41">
        <f t="shared" si="3"/>
        <v>54.153514679311655</v>
      </c>
      <c r="I41">
        <f t="shared" si="4"/>
        <v>100.1843475782197</v>
      </c>
      <c r="J41">
        <f t="shared" si="13"/>
        <v>2.9250104235318704</v>
      </c>
      <c r="K41">
        <f t="shared" si="14"/>
        <v>-0.7439691509880252</v>
      </c>
      <c r="M41" s="11">
        <v>7908</v>
      </c>
      <c r="N41">
        <f t="shared" si="7"/>
        <v>498376.35599724785</v>
      </c>
      <c r="O41">
        <f t="shared" si="8"/>
        <v>458078.7808928012</v>
      </c>
      <c r="P41">
        <f t="shared" si="9"/>
        <v>40297.575104446674</v>
      </c>
      <c r="Q41">
        <f t="shared" si="10"/>
        <v>13008.43385257391</v>
      </c>
      <c r="R41">
        <f t="shared" si="15"/>
        <v>3258.542862104046</v>
      </c>
      <c r="S41">
        <f t="shared" si="16"/>
        <v>0</v>
      </c>
      <c r="T41">
        <f t="shared" si="17"/>
        <v>46444.69286694832</v>
      </c>
      <c r="U41">
        <f t="shared" si="11"/>
        <v>1623894559.2985203</v>
      </c>
    </row>
    <row r="42" spans="1:21" ht="12.75">
      <c r="A42">
        <f t="shared" si="12"/>
        <v>135</v>
      </c>
      <c r="B42" s="1">
        <f t="shared" si="0"/>
        <v>0.728078995015903</v>
      </c>
      <c r="C42" s="1">
        <f t="shared" si="5"/>
        <v>52.69818332556758</v>
      </c>
      <c r="D42">
        <f t="shared" si="1"/>
        <v>107.12650421343756</v>
      </c>
      <c r="E42">
        <f t="shared" si="2"/>
        <v>204.56989931838697</v>
      </c>
      <c r="F42">
        <f t="shared" si="6"/>
        <v>33.12136462083992</v>
      </c>
      <c r="G42">
        <f t="shared" si="3"/>
        <v>50.247961805250185</v>
      </c>
      <c r="I42">
        <f t="shared" si="4"/>
        <v>104.8771399605022</v>
      </c>
      <c r="J42">
        <f t="shared" si="13"/>
        <v>2.815675429369503</v>
      </c>
      <c r="K42">
        <f t="shared" si="14"/>
        <v>-0.7872434477069516</v>
      </c>
      <c r="M42" s="11">
        <v>7682</v>
      </c>
      <c r="N42">
        <f t="shared" si="7"/>
        <v>467011.3006311799</v>
      </c>
      <c r="O42">
        <f t="shared" si="8"/>
        <v>435552.4316756103</v>
      </c>
      <c r="P42">
        <f t="shared" si="9"/>
        <v>31458.868955569575</v>
      </c>
      <c r="Q42">
        <f t="shared" si="10"/>
        <v>13157.352523289717</v>
      </c>
      <c r="R42">
        <f t="shared" si="15"/>
        <v>3048.3597183243437</v>
      </c>
      <c r="S42">
        <f t="shared" si="16"/>
        <v>0</v>
      </c>
      <c r="T42">
        <f t="shared" si="17"/>
        <v>35878.222030008124</v>
      </c>
      <c r="U42">
        <f t="shared" si="11"/>
        <v>989660435.9636991</v>
      </c>
    </row>
    <row r="43" spans="1:21" ht="12.75">
      <c r="A43">
        <f t="shared" si="12"/>
        <v>140</v>
      </c>
      <c r="B43" s="1">
        <f t="shared" si="0"/>
        <v>0.7593303007837711</v>
      </c>
      <c r="C43" s="1">
        <f t="shared" si="5"/>
        <v>50.45858284917362</v>
      </c>
      <c r="D43">
        <f t="shared" si="1"/>
        <v>109.81351645525368</v>
      </c>
      <c r="E43">
        <f t="shared" si="2"/>
        <v>207.8798553870138</v>
      </c>
      <c r="F43">
        <f t="shared" si="6"/>
        <v>31.630425742938318</v>
      </c>
      <c r="G43">
        <f t="shared" si="3"/>
        <v>46.44403516916469</v>
      </c>
      <c r="I43">
        <f t="shared" si="4"/>
        <v>109.3787772710162</v>
      </c>
      <c r="J43">
        <f t="shared" si="13"/>
        <v>2.7009823863083993</v>
      </c>
      <c r="K43">
        <f t="shared" si="14"/>
        <v>-0.8258229429576667</v>
      </c>
      <c r="M43" s="11">
        <v>7998</v>
      </c>
      <c r="N43">
        <f t="shared" si="7"/>
        <v>463108.87338971545</v>
      </c>
      <c r="O43">
        <f t="shared" si="8"/>
        <v>409711.2654596194</v>
      </c>
      <c r="P43">
        <f t="shared" si="9"/>
        <v>53397.60793009604</v>
      </c>
      <c r="Q43">
        <f t="shared" si="10"/>
        <v>13281.588579306885</v>
      </c>
      <c r="R43">
        <f t="shared" si="15"/>
        <v>2941.0697095358123</v>
      </c>
      <c r="S43">
        <f t="shared" si="16"/>
        <v>0</v>
      </c>
      <c r="T43">
        <f t="shared" si="17"/>
        <v>42428.23844283281</v>
      </c>
      <c r="U43">
        <f t="shared" si="11"/>
        <v>2851304532.6562557</v>
      </c>
    </row>
    <row r="44" spans="1:21" ht="12.75">
      <c r="A44">
        <f t="shared" si="12"/>
        <v>145</v>
      </c>
      <c r="B44" s="1">
        <f t="shared" si="0"/>
        <v>0.7891951840768604</v>
      </c>
      <c r="C44" s="1">
        <f t="shared" si="5"/>
        <v>48.12043366122374</v>
      </c>
      <c r="D44">
        <f t="shared" si="1"/>
        <v>112.52576315221839</v>
      </c>
      <c r="E44">
        <f t="shared" si="2"/>
        <v>211.11332291734377</v>
      </c>
      <c r="F44">
        <f t="shared" si="6"/>
        <v>30.205630378661322</v>
      </c>
      <c r="G44">
        <f t="shared" si="3"/>
        <v>42.7314865018524</v>
      </c>
      <c r="I44">
        <f t="shared" si="4"/>
        <v>113.68070544979165</v>
      </c>
      <c r="J44">
        <f t="shared" si="13"/>
        <v>2.5811569072652647</v>
      </c>
      <c r="K44">
        <f t="shared" si="14"/>
        <v>-0.862777960228978</v>
      </c>
      <c r="M44" s="11">
        <v>8269</v>
      </c>
      <c r="N44">
        <f t="shared" si="7"/>
        <v>454689.97766490316</v>
      </c>
      <c r="O44">
        <f t="shared" si="8"/>
        <v>380751.94912305486</v>
      </c>
      <c r="P44">
        <f t="shared" si="9"/>
        <v>73938.0285418483</v>
      </c>
      <c r="Q44">
        <f t="shared" si="10"/>
        <v>13382.461220870762</v>
      </c>
      <c r="R44">
        <f t="shared" si="15"/>
        <v>2915.811070172504</v>
      </c>
      <c r="S44">
        <f t="shared" si="16"/>
        <v>0</v>
      </c>
      <c r="T44">
        <f t="shared" si="17"/>
        <v>63667.81823597217</v>
      </c>
      <c r="U44">
        <f t="shared" si="11"/>
        <v>5466832064.655173</v>
      </c>
    </row>
    <row r="45" spans="1:21" ht="12.75">
      <c r="A45">
        <f t="shared" si="12"/>
        <v>150</v>
      </c>
      <c r="B45" s="1">
        <f t="shared" si="0"/>
        <v>0.81761201288098</v>
      </c>
      <c r="C45" s="1">
        <f t="shared" si="5"/>
        <v>45.67602753771681</v>
      </c>
      <c r="D45">
        <f t="shared" si="1"/>
        <v>115.24965835712649</v>
      </c>
      <c r="E45">
        <f t="shared" si="2"/>
        <v>214.24970330700896</v>
      </c>
      <c r="F45">
        <f t="shared" si="6"/>
        <v>28.849918871262567</v>
      </c>
      <c r="G45">
        <f t="shared" si="3"/>
        <v>39.09967019936175</v>
      </c>
      <c r="I45">
        <f t="shared" si="4"/>
        <v>117.77404662859901</v>
      </c>
      <c r="J45">
        <f t="shared" si="13"/>
        <v>2.4560047072844187</v>
      </c>
      <c r="K45">
        <f t="shared" si="14"/>
        <v>-0.901131885137497</v>
      </c>
      <c r="M45" s="11">
        <v>8586</v>
      </c>
      <c r="N45">
        <f t="shared" si="7"/>
        <v>446072.0849333424</v>
      </c>
      <c r="O45">
        <f t="shared" si="8"/>
        <v>348894.88054935116</v>
      </c>
      <c r="P45">
        <f t="shared" si="9"/>
        <v>97177.20438399125</v>
      </c>
      <c r="Q45">
        <f t="shared" si="10"/>
        <v>13464.331317932885</v>
      </c>
      <c r="R45">
        <f t="shared" si="15"/>
        <v>2874.7193986999214</v>
      </c>
      <c r="S45">
        <f t="shared" si="16"/>
        <v>0</v>
      </c>
      <c r="T45">
        <f t="shared" si="17"/>
        <v>85557.61646291977</v>
      </c>
      <c r="U45">
        <f t="shared" si="11"/>
        <v>9443409051.888008</v>
      </c>
    </row>
    <row r="46" spans="1:21" ht="12.75">
      <c r="A46">
        <f t="shared" si="12"/>
        <v>155</v>
      </c>
      <c r="B46" s="1">
        <f t="shared" si="0"/>
        <v>0.8445120498227189</v>
      </c>
      <c r="C46" s="1">
        <f t="shared" si="5"/>
        <v>43.109591350801566</v>
      </c>
      <c r="D46">
        <f t="shared" si="1"/>
        <v>117.97087439619682</v>
      </c>
      <c r="E46">
        <f t="shared" si="2"/>
        <v>217.26983621537903</v>
      </c>
      <c r="F46">
        <f t="shared" si="6"/>
        <v>27.56657054683305</v>
      </c>
      <c r="G46">
        <f t="shared" si="3"/>
        <v>35.53753791400257</v>
      </c>
      <c r="I46">
        <f t="shared" si="4"/>
        <v>121.64889943797007</v>
      </c>
      <c r="J46">
        <f t="shared" si="13"/>
        <v>2.324911685622638</v>
      </c>
      <c r="K46">
        <f t="shared" si="14"/>
        <v>-0.9439075122653118</v>
      </c>
      <c r="M46" s="11">
        <v>8270</v>
      </c>
      <c r="N46">
        <f t="shared" si="7"/>
        <v>407385.6382650748</v>
      </c>
      <c r="O46">
        <f t="shared" si="8"/>
        <v>314382.51126617816</v>
      </c>
      <c r="P46">
        <f t="shared" si="9"/>
        <v>93003.12699889665</v>
      </c>
      <c r="Q46">
        <f t="shared" si="10"/>
        <v>13535.577007073223</v>
      </c>
      <c r="R46">
        <f t="shared" si="15"/>
        <v>2721.43828978161</v>
      </c>
      <c r="S46">
        <f t="shared" si="16"/>
        <v>0</v>
      </c>
      <c r="T46">
        <f t="shared" si="17"/>
        <v>95090.16569144395</v>
      </c>
      <c r="U46">
        <f t="shared" si="11"/>
        <v>8649581631.572899</v>
      </c>
    </row>
    <row r="47" spans="1:21" ht="12.75">
      <c r="A47">
        <f t="shared" si="12"/>
        <v>160</v>
      </c>
      <c r="B47" s="1">
        <f aca="true" t="shared" si="18" ref="B47:B78">($B$11-F47)/($B$11-$B$12)</f>
        <v>0.8698145095245167</v>
      </c>
      <c r="C47" s="1">
        <f t="shared" si="5"/>
        <v>40.39707792817716</v>
      </c>
      <c r="D47">
        <f aca="true" t="shared" si="19" ref="D47:D78">DEGREES(ACOS(($B$5^2+$B$4^2-$B$7^2-$B$8^2+2*$B$7*$B$8*COS(RADIANS(A47-$B$10)))/(2*$B$5*$B$4)))</f>
        <v>120.67406390852436</v>
      </c>
      <c r="E47">
        <f aca="true" t="shared" si="20" ref="E47:E78">SQRT($B$8^2+$B$7^2-2*$B$8*$B$7*COS(RADIANS(A47-$B$10)))</f>
        <v>220.15598040302157</v>
      </c>
      <c r="F47">
        <f t="shared" si="6"/>
        <v>26.35943951825579</v>
      </c>
      <c r="G47">
        <f aca="true" t="shared" si="21" ref="G47:G78">D47+F47-(A47-$B$10)</f>
        <v>32.03359639775286</v>
      </c>
      <c r="I47">
        <f aca="true" t="shared" si="22" ref="I47:I78">$B$3*B47*($B$11-$B$12)*2*3.1415/360</f>
        <v>125.2936270371126</v>
      </c>
      <c r="J47">
        <f t="shared" si="13"/>
        <v>2.186836559485516</v>
      </c>
      <c r="K47">
        <f t="shared" si="14"/>
        <v>-0.9941806754142934</v>
      </c>
      <c r="M47" s="11">
        <v>7998</v>
      </c>
      <c r="N47">
        <f t="shared" si="7"/>
        <v>370764.38122481</v>
      </c>
      <c r="O47">
        <f t="shared" si="8"/>
        <v>277477.5012429189</v>
      </c>
      <c r="P47">
        <f t="shared" si="9"/>
        <v>93286.87998189108</v>
      </c>
      <c r="Q47">
        <f t="shared" si="10"/>
        <v>13610.116807586604</v>
      </c>
      <c r="R47">
        <f t="shared" si="15"/>
        <v>2470.5178576187764</v>
      </c>
      <c r="S47">
        <f t="shared" si="16"/>
        <v>0</v>
      </c>
      <c r="T47">
        <f t="shared" si="17"/>
        <v>93145.00349039386</v>
      </c>
      <c r="U47">
        <f t="shared" si="11"/>
        <v>8702441976.75575</v>
      </c>
    </row>
    <row r="48" spans="1:21" ht="12.75">
      <c r="A48">
        <f t="shared" si="12"/>
        <v>165</v>
      </c>
      <c r="B48" s="1">
        <f t="shared" si="18"/>
        <v>0.8934214565254556</v>
      </c>
      <c r="C48" s="1">
        <f t="shared" si="5"/>
        <v>37.50586094968663</v>
      </c>
      <c r="D48">
        <f t="shared" si="19"/>
        <v>123.34254007699984</v>
      </c>
      <c r="E48">
        <f t="shared" si="20"/>
        <v>222.89178789793692</v>
      </c>
      <c r="F48">
        <f t="shared" si="6"/>
        <v>25.233198095458963</v>
      </c>
      <c r="G48">
        <f t="shared" si="21"/>
        <v>28.575831143431515</v>
      </c>
      <c r="I48">
        <f t="shared" si="22"/>
        <v>128.69412217789542</v>
      </c>
      <c r="J48">
        <f t="shared" si="13"/>
        <v>2.040297084469694</v>
      </c>
      <c r="K48">
        <f t="shared" si="14"/>
        <v>-1.0551264251709251</v>
      </c>
      <c r="M48" s="11">
        <v>7682</v>
      </c>
      <c r="N48">
        <f t="shared" si="7"/>
        <v>332376.9397361229</v>
      </c>
      <c r="O48">
        <f t="shared" si="8"/>
        <v>238460.7198897051</v>
      </c>
      <c r="P48">
        <f t="shared" si="9"/>
        <v>93916.2198464178</v>
      </c>
      <c r="Q48">
        <f t="shared" si="10"/>
        <v>13709.958682427503</v>
      </c>
      <c r="R48">
        <f t="shared" si="15"/>
        <v>2221.656825311444</v>
      </c>
      <c r="S48">
        <f t="shared" si="16"/>
        <v>0</v>
      </c>
      <c r="T48">
        <f t="shared" si="17"/>
        <v>93601.54991415444</v>
      </c>
      <c r="U48">
        <f t="shared" si="11"/>
        <v>8820256350.240683</v>
      </c>
    </row>
    <row r="49" spans="1:21" ht="12.75">
      <c r="A49">
        <f t="shared" si="12"/>
        <v>170</v>
      </c>
      <c r="B49" s="1">
        <f t="shared" si="18"/>
        <v>0.9152125153009439</v>
      </c>
      <c r="C49" s="1">
        <f t="shared" si="5"/>
        <v>34.39444564426228</v>
      </c>
      <c r="D49">
        <f t="shared" si="19"/>
        <v>125.95791761758444</v>
      </c>
      <c r="E49">
        <f t="shared" si="20"/>
        <v>225.46227440911815</v>
      </c>
      <c r="F49">
        <f t="shared" si="6"/>
        <v>24.193589160064676</v>
      </c>
      <c r="G49">
        <f t="shared" si="21"/>
        <v>25.151599748621805</v>
      </c>
      <c r="I49">
        <f t="shared" si="22"/>
        <v>131.83304520235998</v>
      </c>
      <c r="J49">
        <f t="shared" si="13"/>
        <v>1.8833538146787363</v>
      </c>
      <c r="K49">
        <f t="shared" si="14"/>
        <v>-1.130036743964655</v>
      </c>
      <c r="M49" s="11">
        <v>7817</v>
      </c>
      <c r="N49">
        <f t="shared" si="7"/>
        <v>309446.8274614277</v>
      </c>
      <c r="O49">
        <f t="shared" si="8"/>
        <v>197629.10847161128</v>
      </c>
      <c r="P49">
        <f t="shared" si="9"/>
        <v>111817.71898981644</v>
      </c>
      <c r="Q49">
        <f t="shared" si="10"/>
        <v>13869.78780078006</v>
      </c>
      <c r="R49">
        <f t="shared" si="15"/>
        <v>2027.0903315073426</v>
      </c>
      <c r="S49">
        <f t="shared" si="16"/>
        <v>0</v>
      </c>
      <c r="T49">
        <f t="shared" si="17"/>
        <v>102866.96941811712</v>
      </c>
      <c r="U49">
        <f t="shared" si="11"/>
        <v>12503202280.085556</v>
      </c>
    </row>
    <row r="50" spans="1:21" ht="12.75">
      <c r="A50">
        <f t="shared" si="12"/>
        <v>175</v>
      </c>
      <c r="B50" s="1">
        <f t="shared" si="18"/>
        <v>0.9350394607635222</v>
      </c>
      <c r="C50" s="1">
        <f t="shared" si="5"/>
        <v>31.012410399483013</v>
      </c>
      <c r="D50">
        <f t="shared" si="19"/>
        <v>128.49972457754487</v>
      </c>
      <c r="E50">
        <f t="shared" si="20"/>
        <v>227.85378817412052</v>
      </c>
      <c r="F50">
        <f t="shared" si="6"/>
        <v>23.247684242050457</v>
      </c>
      <c r="G50">
        <f t="shared" si="21"/>
        <v>21.747501790568037</v>
      </c>
      <c r="I50">
        <f t="shared" si="22"/>
        <v>134.6890448239706</v>
      </c>
      <c r="J50">
        <f t="shared" si="13"/>
        <v>1.7135997729663641</v>
      </c>
      <c r="K50">
        <f t="shared" si="14"/>
        <v>-1.2222779914487376</v>
      </c>
      <c r="M50" s="11">
        <v>7998</v>
      </c>
      <c r="N50">
        <f t="shared" si="7"/>
        <v>284631.9026464551</v>
      </c>
      <c r="O50">
        <f t="shared" si="8"/>
        <v>155293.42020633016</v>
      </c>
      <c r="P50">
        <f t="shared" si="9"/>
        <v>129338.48244012494</v>
      </c>
      <c r="Q50">
        <f t="shared" si="10"/>
        <v>14145.91030764424</v>
      </c>
      <c r="R50">
        <f t="shared" si="15"/>
        <v>1881.9847506571562</v>
      </c>
      <c r="S50">
        <f t="shared" si="16"/>
        <v>0</v>
      </c>
      <c r="T50">
        <f t="shared" si="17"/>
        <v>120578.10071497069</v>
      </c>
      <c r="U50">
        <f t="shared" si="11"/>
        <v>16728443039.914507</v>
      </c>
    </row>
    <row r="51" spans="1:21" ht="12.75">
      <c r="A51">
        <f t="shared" si="12"/>
        <v>180</v>
      </c>
      <c r="B51" s="1">
        <f t="shared" si="18"/>
        <v>0.9527209313896764</v>
      </c>
      <c r="C51" s="1">
        <f t="shared" si="5"/>
        <v>27.300946917782483</v>
      </c>
      <c r="D51">
        <f t="shared" si="19"/>
        <v>130.9450085877817</v>
      </c>
      <c r="E51">
        <f t="shared" si="20"/>
        <v>230.05397883784747</v>
      </c>
      <c r="F51">
        <f t="shared" si="6"/>
        <v>22.40413574616285</v>
      </c>
      <c r="G51">
        <f t="shared" si="21"/>
        <v>18.34923730491724</v>
      </c>
      <c r="I51">
        <f t="shared" si="22"/>
        <v>137.23599657269696</v>
      </c>
      <c r="J51">
        <f t="shared" si="13"/>
        <v>1.528171049235823</v>
      </c>
      <c r="K51">
        <f t="shared" si="14"/>
        <v>-1.3351402164685553</v>
      </c>
      <c r="M51" s="11">
        <v>8134</v>
      </c>
      <c r="N51">
        <f t="shared" si="7"/>
        <v>254281.01959222605</v>
      </c>
      <c r="O51">
        <f t="shared" si="8"/>
        <v>111775.85524454778</v>
      </c>
      <c r="P51">
        <f t="shared" si="9"/>
        <v>142505.16434767825</v>
      </c>
      <c r="Q51">
        <f t="shared" si="10"/>
        <v>14635.416825828499</v>
      </c>
      <c r="R51">
        <f t="shared" si="15"/>
        <v>1711.976067102243</v>
      </c>
      <c r="S51">
        <f t="shared" si="16"/>
        <v>0</v>
      </c>
      <c r="T51">
        <f t="shared" si="17"/>
        <v>135921.82339390158</v>
      </c>
      <c r="U51">
        <f t="shared" si="11"/>
        <v>20307721865.75879</v>
      </c>
    </row>
    <row r="52" spans="1:21" ht="12.75">
      <c r="A52">
        <f t="shared" si="12"/>
        <v>185</v>
      </c>
      <c r="B52" s="1">
        <f t="shared" si="18"/>
        <v>0.9680377898557072</v>
      </c>
      <c r="C52" s="1">
        <f t="shared" si="5"/>
        <v>23.19457297922655</v>
      </c>
      <c r="D52">
        <f t="shared" si="19"/>
        <v>133.2679835743494</v>
      </c>
      <c r="E52">
        <f t="shared" si="20"/>
        <v>232.0517674973477</v>
      </c>
      <c r="F52">
        <f t="shared" si="6"/>
        <v>21.67339828693638</v>
      </c>
      <c r="G52">
        <f t="shared" si="21"/>
        <v>14.941474832258479</v>
      </c>
      <c r="I52">
        <f t="shared" si="22"/>
        <v>139.4423345114285</v>
      </c>
      <c r="J52">
        <f t="shared" si="13"/>
        <v>1.323802763238922</v>
      </c>
      <c r="K52">
        <f t="shared" si="14"/>
        <v>-1.4715105195984706</v>
      </c>
      <c r="M52" s="11">
        <v>8043</v>
      </c>
      <c r="N52">
        <f t="shared" si="7"/>
        <v>213923.54658740645</v>
      </c>
      <c r="O52">
        <f t="shared" si="8"/>
        <v>67407.60853224793</v>
      </c>
      <c r="P52">
        <f t="shared" si="9"/>
        <v>146515.93805515853</v>
      </c>
      <c r="Q52">
        <f t="shared" si="10"/>
        <v>15522.510922672158</v>
      </c>
      <c r="R52">
        <f t="shared" si="15"/>
        <v>1487.163701452503</v>
      </c>
      <c r="S52">
        <f t="shared" si="16"/>
        <v>0</v>
      </c>
      <c r="T52">
        <f t="shared" si="17"/>
        <v>144510.5512014184</v>
      </c>
      <c r="U52">
        <f t="shared" si="11"/>
        <v>21466920104.183052</v>
      </c>
    </row>
    <row r="53" spans="1:21" ht="12.75">
      <c r="A53">
        <f t="shared" si="12"/>
        <v>190</v>
      </c>
      <c r="B53" s="1">
        <f t="shared" si="18"/>
        <v>0.9807300750841423</v>
      </c>
      <c r="C53" s="1">
        <f t="shared" si="5"/>
        <v>18.624826881941388</v>
      </c>
      <c r="D53">
        <f t="shared" si="19"/>
        <v>135.43979629497628</v>
      </c>
      <c r="E53">
        <f t="shared" si="20"/>
        <v>233.8373186927406</v>
      </c>
      <c r="F53">
        <f t="shared" si="6"/>
        <v>21.06787410061752</v>
      </c>
      <c r="G53">
        <f t="shared" si="21"/>
        <v>11.507763366566508</v>
      </c>
      <c r="I53">
        <f t="shared" si="22"/>
        <v>141.2706121893089</v>
      </c>
      <c r="J53">
        <f t="shared" si="13"/>
        <v>1.0969666067282446</v>
      </c>
      <c r="K53">
        <f t="shared" si="14"/>
        <v>-1.6332856583032087</v>
      </c>
      <c r="M53" s="11">
        <v>7998</v>
      </c>
      <c r="N53">
        <f t="shared" si="7"/>
        <v>170938.66112245806</v>
      </c>
      <c r="O53">
        <f t="shared" si="8"/>
        <v>22526.349217190804</v>
      </c>
      <c r="P53">
        <f t="shared" si="9"/>
        <v>148412.31190526724</v>
      </c>
      <c r="Q53">
        <f t="shared" si="10"/>
        <v>17210.847409663926</v>
      </c>
      <c r="R53">
        <f t="shared" si="15"/>
        <v>1221.9750929533175</v>
      </c>
      <c r="S53">
        <f t="shared" si="16"/>
        <v>0</v>
      </c>
      <c r="T53">
        <f t="shared" si="17"/>
        <v>147464.1249802129</v>
      </c>
      <c r="U53">
        <f t="shared" si="11"/>
        <v>22026214325.06633</v>
      </c>
    </row>
    <row r="54" spans="1:21" ht="12.75">
      <c r="A54">
        <f t="shared" si="12"/>
        <v>195</v>
      </c>
      <c r="B54" s="1">
        <f t="shared" si="18"/>
        <v>0.9904970384921143</v>
      </c>
      <c r="C54" s="1">
        <f t="shared" si="5"/>
        <v>13.526922387066683</v>
      </c>
      <c r="D54">
        <f t="shared" si="19"/>
        <v>137.4285359086165</v>
      </c>
      <c r="E54">
        <f t="shared" si="20"/>
        <v>235.40201485851802</v>
      </c>
      <c r="F54">
        <f t="shared" si="6"/>
        <v>20.601911315825333</v>
      </c>
      <c r="G54">
        <f t="shared" si="21"/>
        <v>8.030540195414545</v>
      </c>
      <c r="I54">
        <f t="shared" si="22"/>
        <v>142.67750786318373</v>
      </c>
      <c r="J54">
        <f t="shared" si="13"/>
        <v>0.844137404324897</v>
      </c>
      <c r="K54">
        <f t="shared" si="14"/>
        <v>-1.820443075027104</v>
      </c>
      <c r="M54" s="11">
        <v>7908</v>
      </c>
      <c r="N54">
        <f t="shared" si="7"/>
        <v>122932.67065366202</v>
      </c>
      <c r="O54">
        <f t="shared" si="8"/>
        <v>-22526.34921719068</v>
      </c>
      <c r="P54">
        <f t="shared" si="9"/>
        <v>145459.0198708527</v>
      </c>
      <c r="Q54">
        <f t="shared" si="10"/>
        <v>20811.22921465335</v>
      </c>
      <c r="R54">
        <f t="shared" si="15"/>
        <v>932.4201078605425</v>
      </c>
      <c r="S54">
        <f t="shared" si="16"/>
        <v>0</v>
      </c>
      <c r="T54">
        <f t="shared" si="17"/>
        <v>146935.66588805997</v>
      </c>
      <c r="U54">
        <f t="shared" si="11"/>
        <v>21158326461.78912</v>
      </c>
    </row>
    <row r="55" spans="1:21" ht="12.75">
      <c r="A55">
        <f t="shared" si="12"/>
        <v>200</v>
      </c>
      <c r="B55" s="1">
        <f t="shared" si="18"/>
        <v>0.9970023394769533</v>
      </c>
      <c r="C55" s="1">
        <f t="shared" si="5"/>
        <v>7.850236364927368</v>
      </c>
      <c r="D55">
        <f t="shared" si="19"/>
        <v>139.19965628520384</v>
      </c>
      <c r="E55">
        <f t="shared" si="20"/>
        <v>236.73843355519153</v>
      </c>
      <c r="F55">
        <f t="shared" si="6"/>
        <v>20.29155608706173</v>
      </c>
      <c r="G55">
        <f t="shared" si="21"/>
        <v>4.491305343238281</v>
      </c>
      <c r="I55">
        <f t="shared" si="22"/>
        <v>143.61457288846609</v>
      </c>
      <c r="J55">
        <f t="shared" si="13"/>
        <v>0.5622390151694105</v>
      </c>
      <c r="K55">
        <f t="shared" si="14"/>
        <v>-2.0297495919031787</v>
      </c>
      <c r="M55" s="11">
        <v>7795</v>
      </c>
      <c r="N55">
        <f t="shared" si="7"/>
        <v>70455.87137522313</v>
      </c>
      <c r="O55">
        <f t="shared" si="8"/>
        <v>-67407.6085322478</v>
      </c>
      <c r="P55">
        <f t="shared" si="9"/>
        <v>137863.47990747093</v>
      </c>
      <c r="Q55">
        <f t="shared" si="10"/>
        <v>30996.40587183635</v>
      </c>
      <c r="R55">
        <f t="shared" si="15"/>
        <v>613.1138371670315</v>
      </c>
      <c r="S55">
        <f t="shared" si="16"/>
        <v>0</v>
      </c>
      <c r="T55">
        <f t="shared" si="17"/>
        <v>141661.24988916182</v>
      </c>
      <c r="U55">
        <f t="shared" si="11"/>
        <v>19006339092.19764</v>
      </c>
    </row>
    <row r="56" spans="1:21" ht="12.75">
      <c r="A56">
        <f t="shared" si="12"/>
        <v>205</v>
      </c>
      <c r="B56" s="1">
        <f t="shared" si="18"/>
        <v>0.9998868250556179</v>
      </c>
      <c r="C56" s="1">
        <f t="shared" si="5"/>
        <v>1.5727763661367278</v>
      </c>
      <c r="D56">
        <f t="shared" si="19"/>
        <v>140.7170084106906</v>
      </c>
      <c r="E56">
        <f t="shared" si="20"/>
        <v>237.8403276636189</v>
      </c>
      <c r="F56">
        <f t="shared" si="6"/>
        <v>20.15394290302641</v>
      </c>
      <c r="G56">
        <f t="shared" si="21"/>
        <v>0.8710442846897024</v>
      </c>
      <c r="I56">
        <f t="shared" si="22"/>
        <v>144.03007257987124</v>
      </c>
      <c r="J56">
        <f t="shared" si="13"/>
        <v>0.24929981484309563</v>
      </c>
      <c r="K56">
        <f t="shared" si="14"/>
        <v>-2.2532523724443654</v>
      </c>
      <c r="M56" s="11">
        <v>7682</v>
      </c>
      <c r="N56">
        <f t="shared" si="7"/>
        <v>13937.944156703681</v>
      </c>
      <c r="O56">
        <f t="shared" si="8"/>
        <v>-111775.85524454787</v>
      </c>
      <c r="P56">
        <f t="shared" si="9"/>
        <v>125713.79940125156</v>
      </c>
      <c r="Q56">
        <f t="shared" si="10"/>
        <v>131212.72234673848</v>
      </c>
      <c r="R56">
        <f t="shared" si="15"/>
        <v>267.9453634949022</v>
      </c>
      <c r="S56">
        <f t="shared" si="16"/>
        <v>0</v>
      </c>
      <c r="T56">
        <f t="shared" si="17"/>
        <v>131788.63965436124</v>
      </c>
      <c r="U56">
        <f t="shared" si="11"/>
        <v>15803959359.898115</v>
      </c>
    </row>
    <row r="57" spans="1:21" ht="12.75">
      <c r="A57">
        <f t="shared" si="12"/>
        <v>210</v>
      </c>
      <c r="B57" s="1">
        <f t="shared" si="18"/>
        <v>0.9987909510703639</v>
      </c>
      <c r="C57" s="1">
        <f t="shared" si="5"/>
        <v>-5.281907589241306</v>
      </c>
      <c r="D57">
        <f t="shared" si="19"/>
        <v>141.94464982345858</v>
      </c>
      <c r="E57">
        <f t="shared" si="20"/>
        <v>238.70260863078425</v>
      </c>
      <c r="F57">
        <f t="shared" si="6"/>
        <v>20.206224914601627</v>
      </c>
      <c r="G57">
        <f t="shared" si="21"/>
        <v>-2.849032290967102</v>
      </c>
      <c r="I57">
        <f t="shared" si="22"/>
        <v>143.8722159048163</v>
      </c>
      <c r="J57">
        <f t="shared" si="13"/>
        <v>-0.09471400503296651</v>
      </c>
      <c r="K57">
        <f t="shared" si="14"/>
        <v>-2.4769985830509693</v>
      </c>
      <c r="M57" s="11">
        <v>7570</v>
      </c>
      <c r="N57">
        <f t="shared" si="7"/>
        <v>-46216.69140586143</v>
      </c>
      <c r="O57">
        <f t="shared" si="8"/>
        <v>-155293.42020633002</v>
      </c>
      <c r="P57">
        <f t="shared" si="9"/>
        <v>109076.72880046858</v>
      </c>
      <c r="Q57">
        <f t="shared" si="10"/>
        <v>-32363.161956328066</v>
      </c>
      <c r="R57">
        <f t="shared" si="15"/>
        <v>-100.31791699741702</v>
      </c>
      <c r="S57">
        <f t="shared" si="16"/>
        <v>0</v>
      </c>
      <c r="T57">
        <f t="shared" si="17"/>
        <v>117395.26410086008</v>
      </c>
      <c r="U57">
        <f t="shared" si="11"/>
        <v>11897732765.810972</v>
      </c>
    </row>
    <row r="58" spans="1:21" ht="12.75">
      <c r="A58">
        <f t="shared" si="12"/>
        <v>215</v>
      </c>
      <c r="B58" s="1">
        <f t="shared" si="18"/>
        <v>0.9933872236323453</v>
      </c>
      <c r="C58" s="1">
        <f t="shared" si="5"/>
        <v>-12.629469386535776</v>
      </c>
      <c r="D58">
        <f t="shared" si="19"/>
        <v>142.84946157327474</v>
      </c>
      <c r="E58">
        <f t="shared" si="20"/>
        <v>239.32133279599427</v>
      </c>
      <c r="F58">
        <f t="shared" si="6"/>
        <v>20.464026216818223</v>
      </c>
      <c r="G58">
        <f t="shared" si="21"/>
        <v>-6.686419238934349</v>
      </c>
      <c r="I58">
        <f t="shared" si="22"/>
        <v>143.09382855577172</v>
      </c>
      <c r="J58">
        <f t="shared" si="13"/>
        <v>-0.46703240942674706</v>
      </c>
      <c r="K58">
        <f t="shared" si="14"/>
        <v>-2.680799743624965</v>
      </c>
      <c r="M58" s="11">
        <v>7380</v>
      </c>
      <c r="N58">
        <f t="shared" si="7"/>
        <v>-108108.25794874625</v>
      </c>
      <c r="O58">
        <f t="shared" si="8"/>
        <v>-197629.10847161117</v>
      </c>
      <c r="P58">
        <f t="shared" si="9"/>
        <v>89520.85052286492</v>
      </c>
      <c r="Q58">
        <f t="shared" si="10"/>
        <v>-10869.313761577974</v>
      </c>
      <c r="R58">
        <f t="shared" si="15"/>
        <v>-484.87045284235205</v>
      </c>
      <c r="S58">
        <f t="shared" si="16"/>
        <v>0</v>
      </c>
      <c r="T58">
        <f t="shared" si="17"/>
        <v>99298.78966166676</v>
      </c>
      <c r="U58">
        <f t="shared" si="11"/>
        <v>8013982678.337124</v>
      </c>
    </row>
    <row r="59" spans="1:21" ht="12.75">
      <c r="A59">
        <f t="shared" si="12"/>
        <v>220</v>
      </c>
      <c r="B59" s="1">
        <f t="shared" si="18"/>
        <v>0.9834197791757419</v>
      </c>
      <c r="C59" s="1">
        <f t="shared" si="5"/>
        <v>-20.317641237145978</v>
      </c>
      <c r="D59">
        <f t="shared" si="19"/>
        <v>143.40433898993825</v>
      </c>
      <c r="E59">
        <f t="shared" si="20"/>
        <v>239.69369079202312</v>
      </c>
      <c r="F59">
        <f t="shared" si="6"/>
        <v>20.93955356162935</v>
      </c>
      <c r="G59">
        <f t="shared" si="21"/>
        <v>-10.656014477459706</v>
      </c>
      <c r="I59">
        <f t="shared" si="22"/>
        <v>141.65805431358126</v>
      </c>
      <c r="J59">
        <f t="shared" si="13"/>
        <v>-0.8614645453142771</v>
      </c>
      <c r="K59">
        <f t="shared" si="14"/>
        <v>-2.8400249793893915</v>
      </c>
      <c r="M59" s="11">
        <v>7185</v>
      </c>
      <c r="N59">
        <f t="shared" si="7"/>
        <v>-169957.0689487261</v>
      </c>
      <c r="O59">
        <f t="shared" si="8"/>
        <v>-238460.719889705</v>
      </c>
      <c r="P59">
        <f t="shared" si="9"/>
        <v>68503.6509409789</v>
      </c>
      <c r="Q59">
        <f t="shared" si="10"/>
        <v>-5193.225706595301</v>
      </c>
      <c r="R59">
        <f t="shared" si="15"/>
        <v>-871.3354932293365</v>
      </c>
      <c r="S59">
        <f t="shared" si="16"/>
        <v>0</v>
      </c>
      <c r="T59">
        <f t="shared" si="17"/>
        <v>79012.2507319219</v>
      </c>
      <c r="U59">
        <f t="shared" si="11"/>
        <v>4692750192.24348</v>
      </c>
    </row>
    <row r="60" spans="1:21" ht="12.75">
      <c r="A60">
        <f t="shared" si="12"/>
        <v>225</v>
      </c>
      <c r="B60" s="1">
        <f t="shared" si="18"/>
        <v>0.9687441249292411</v>
      </c>
      <c r="C60" s="1">
        <f t="shared" si="5"/>
        <v>-28.13368982118137</v>
      </c>
      <c r="D60">
        <f t="shared" si="19"/>
        <v>143.5913909955267</v>
      </c>
      <c r="E60">
        <f t="shared" si="20"/>
        <v>239.817999999957</v>
      </c>
      <c r="F60">
        <f t="shared" si="6"/>
        <v>21.639700417484786</v>
      </c>
      <c r="G60">
        <f t="shared" si="21"/>
        <v>-14.768815616015814</v>
      </c>
      <c r="I60">
        <f t="shared" si="22"/>
        <v>139.54407951832079</v>
      </c>
      <c r="J60">
        <f t="shared" si="13"/>
        <v>-1.2683848771562851</v>
      </c>
      <c r="K60">
        <f t="shared" si="14"/>
        <v>-2.929943587005938</v>
      </c>
      <c r="M60" s="11">
        <v>7004</v>
      </c>
      <c r="N60">
        <f t="shared" si="7"/>
        <v>-230246.11749654834</v>
      </c>
      <c r="O60">
        <f t="shared" si="8"/>
        <v>-277477.50124291895</v>
      </c>
      <c r="P60">
        <f t="shared" si="9"/>
        <v>47231.383746370615</v>
      </c>
      <c r="Q60">
        <f t="shared" si="10"/>
        <v>-2691.4440738970043</v>
      </c>
      <c r="R60">
        <f t="shared" si="15"/>
        <v>-1249.79951541462</v>
      </c>
      <c r="S60">
        <f t="shared" si="16"/>
        <v>0</v>
      </c>
      <c r="T60">
        <f t="shared" si="17"/>
        <v>57867.51734367476</v>
      </c>
      <c r="U60">
        <f t="shared" si="11"/>
        <v>2230803610.5969224</v>
      </c>
    </row>
    <row r="61" spans="1:21" ht="12.75">
      <c r="A61">
        <f t="shared" si="12"/>
        <v>230</v>
      </c>
      <c r="B61" s="1">
        <f t="shared" si="18"/>
        <v>0.9493572187372227</v>
      </c>
      <c r="C61" s="1">
        <f t="shared" si="5"/>
        <v>-35.82863754016301</v>
      </c>
      <c r="D61">
        <f t="shared" si="19"/>
        <v>143.40435286233173</v>
      </c>
      <c r="E61">
        <f t="shared" si="20"/>
        <v>239.69370003392555</v>
      </c>
      <c r="F61">
        <f t="shared" si="6"/>
        <v>22.564611919698912</v>
      </c>
      <c r="G61">
        <f t="shared" si="21"/>
        <v>-19.03094224699666</v>
      </c>
      <c r="I61">
        <f t="shared" si="22"/>
        <v>136.7514659585009</v>
      </c>
      <c r="J61">
        <f t="shared" si="13"/>
        <v>-1.6755681358919388</v>
      </c>
      <c r="K61">
        <f t="shared" si="14"/>
        <v>-2.9318367363661606</v>
      </c>
      <c r="M61" s="11">
        <v>6552</v>
      </c>
      <c r="N61">
        <f t="shared" si="7"/>
        <v>-277027.0254605404</v>
      </c>
      <c r="O61">
        <f t="shared" si="8"/>
        <v>-314382.51126617804</v>
      </c>
      <c r="P61">
        <f t="shared" si="9"/>
        <v>37355.48580563767</v>
      </c>
      <c r="Q61">
        <f t="shared" si="10"/>
        <v>-1336.7876737574766</v>
      </c>
      <c r="R61">
        <f t="shared" si="15"/>
        <v>-1577.3612257049392</v>
      </c>
      <c r="S61">
        <f t="shared" si="16"/>
        <v>0</v>
      </c>
      <c r="T61">
        <f t="shared" si="17"/>
        <v>42293.43477600414</v>
      </c>
      <c r="U61">
        <f t="shared" si="11"/>
        <v>1395432319.7751973</v>
      </c>
    </row>
    <row r="62" spans="1:21" ht="12.75">
      <c r="A62">
        <f t="shared" si="12"/>
        <v>235</v>
      </c>
      <c r="B62" s="1">
        <f t="shared" si="18"/>
        <v>0.9254089476639552</v>
      </c>
      <c r="C62" s="1">
        <f t="shared" si="5"/>
        <v>-43.15292207816018</v>
      </c>
      <c r="D62">
        <f t="shared" si="19"/>
        <v>142.8494888579226</v>
      </c>
      <c r="E62">
        <f t="shared" si="20"/>
        <v>239.3213512381117</v>
      </c>
      <c r="F62">
        <f t="shared" si="6"/>
        <v>23.70713724862044</v>
      </c>
      <c r="G62">
        <f t="shared" si="21"/>
        <v>-23.443280922484263</v>
      </c>
      <c r="I62">
        <f t="shared" si="22"/>
        <v>133.30180432239192</v>
      </c>
      <c r="J62">
        <f t="shared" si="13"/>
        <v>-2.069796981665382</v>
      </c>
      <c r="K62">
        <f t="shared" si="14"/>
        <v>-2.8385612320180726</v>
      </c>
      <c r="M62" s="11">
        <v>6191</v>
      </c>
      <c r="N62">
        <f t="shared" si="7"/>
        <v>-318080.1886381187</v>
      </c>
      <c r="O62">
        <f t="shared" si="8"/>
        <v>-348894.88054935104</v>
      </c>
      <c r="P62">
        <f t="shared" si="9"/>
        <v>30814.691911232367</v>
      </c>
      <c r="Q62">
        <f t="shared" si="10"/>
        <v>-510.4073245140721</v>
      </c>
      <c r="R62">
        <f t="shared" si="15"/>
        <v>-1831.626592872359</v>
      </c>
      <c r="S62">
        <f t="shared" si="16"/>
        <v>0</v>
      </c>
      <c r="T62">
        <f t="shared" si="17"/>
        <v>34085.08885843502</v>
      </c>
      <c r="U62">
        <f t="shared" si="11"/>
        <v>949545237.5841695</v>
      </c>
    </row>
    <row r="63" spans="1:21" ht="12.75">
      <c r="A63">
        <f t="shared" si="12"/>
        <v>240</v>
      </c>
      <c r="B63" s="1">
        <f t="shared" si="18"/>
        <v>0.8971913570662806</v>
      </c>
      <c r="C63" s="1">
        <f t="shared" si="5"/>
        <v>-49.89205979571624</v>
      </c>
      <c r="D63">
        <f t="shared" si="19"/>
        <v>141.94468966527273</v>
      </c>
      <c r="E63">
        <f t="shared" si="20"/>
        <v>238.70263618962994</v>
      </c>
      <c r="F63">
        <f t="shared" si="6"/>
        <v>25.053343489578225</v>
      </c>
      <c r="G63">
        <f t="shared" si="21"/>
        <v>-28.00187387417634</v>
      </c>
      <c r="I63">
        <f t="shared" si="22"/>
        <v>129.23716268498853</v>
      </c>
      <c r="J63">
        <f t="shared" si="13"/>
        <v>-2.43878498244203</v>
      </c>
      <c r="K63">
        <f t="shared" si="14"/>
        <v>-2.6568198783870005</v>
      </c>
      <c r="M63" s="11">
        <v>5761</v>
      </c>
      <c r="N63">
        <f t="shared" si="7"/>
        <v>-346300.78704206645</v>
      </c>
      <c r="O63">
        <f t="shared" si="8"/>
        <v>-380751.94912305474</v>
      </c>
      <c r="P63">
        <f t="shared" si="9"/>
        <v>34451.16208098829</v>
      </c>
      <c r="Q63">
        <f t="shared" si="10"/>
        <v>37.66768844189778</v>
      </c>
      <c r="R63">
        <f t="shared" si="15"/>
        <v>-2024.191535426885</v>
      </c>
      <c r="S63">
        <f t="shared" si="16"/>
        <v>0</v>
      </c>
      <c r="T63">
        <f t="shared" si="17"/>
        <v>32632.926996110327</v>
      </c>
      <c r="U63">
        <f t="shared" si="11"/>
        <v>1186882568.7305253</v>
      </c>
    </row>
    <row r="64" spans="1:21" ht="12.75">
      <c r="A64">
        <f t="shared" si="12"/>
        <v>245</v>
      </c>
      <c r="B64" s="1">
        <f t="shared" si="18"/>
        <v>0.8651092737318552</v>
      </c>
      <c r="C64" s="1">
        <f t="shared" si="5"/>
        <v>-55.890878850513104</v>
      </c>
      <c r="D64">
        <f t="shared" si="19"/>
        <v>140.71705966916295</v>
      </c>
      <c r="E64">
        <f t="shared" si="20"/>
        <v>237.8403642136827</v>
      </c>
      <c r="F64">
        <f t="shared" si="6"/>
        <v>26.583917145689398</v>
      </c>
      <c r="G64">
        <f t="shared" si="21"/>
        <v>-32.698930214174965</v>
      </c>
      <c r="I64">
        <f t="shared" si="22"/>
        <v>124.61585487756369</v>
      </c>
      <c r="J64">
        <f t="shared" si="13"/>
        <v>-2.772784684454905</v>
      </c>
      <c r="K64">
        <f t="shared" si="14"/>
        <v>-2.4048940502547094</v>
      </c>
      <c r="M64" s="11">
        <v>5242</v>
      </c>
      <c r="N64">
        <f t="shared" si="7"/>
        <v>-358931.22397799516</v>
      </c>
      <c r="O64">
        <f t="shared" si="8"/>
        <v>-409711.2654596193</v>
      </c>
      <c r="P64">
        <f t="shared" si="9"/>
        <v>50780.041481624125</v>
      </c>
      <c r="Q64">
        <f t="shared" si="10"/>
        <v>425.1145965974679</v>
      </c>
      <c r="R64">
        <f t="shared" si="15"/>
        <v>-2118.677075212314</v>
      </c>
      <c r="S64">
        <f t="shared" si="16"/>
        <v>0</v>
      </c>
      <c r="T64">
        <f t="shared" si="17"/>
        <v>42615.601781306206</v>
      </c>
      <c r="U64">
        <f t="shared" si="11"/>
        <v>2578612612.875467</v>
      </c>
    </row>
    <row r="65" spans="1:21" ht="12.75">
      <c r="A65">
        <f t="shared" si="12"/>
        <v>250</v>
      </c>
      <c r="B65" s="1">
        <f t="shared" si="18"/>
        <v>0.8296412584566795</v>
      </c>
      <c r="C65" s="1">
        <f t="shared" si="5"/>
        <v>-61.06099648429293</v>
      </c>
      <c r="D65">
        <f t="shared" si="19"/>
        <v>139.1997176577029</v>
      </c>
      <c r="E65">
        <f t="shared" si="20"/>
        <v>236.7384789286027</v>
      </c>
      <c r="F65">
        <f t="shared" si="6"/>
        <v>28.2760270142677</v>
      </c>
      <c r="G65">
        <f t="shared" si="21"/>
        <v>-37.524162357056696</v>
      </c>
      <c r="I65">
        <f t="shared" si="22"/>
        <v>119.50681584800813</v>
      </c>
      <c r="J65">
        <f t="shared" si="13"/>
        <v>-3.065423417733337</v>
      </c>
      <c r="K65">
        <f t="shared" si="14"/>
        <v>-2.107083162931227</v>
      </c>
      <c r="M65" s="11">
        <v>4700</v>
      </c>
      <c r="N65">
        <f t="shared" si="7"/>
        <v>-359038.6593276424</v>
      </c>
      <c r="O65">
        <f t="shared" si="8"/>
        <v>-435552.43167561025</v>
      </c>
      <c r="P65">
        <f t="shared" si="9"/>
        <v>76513.77234796784</v>
      </c>
      <c r="Q65">
        <f t="shared" si="10"/>
        <v>712.4098578269102</v>
      </c>
      <c r="R65">
        <f t="shared" si="15"/>
        <v>-2116.419417993391</v>
      </c>
      <c r="S65">
        <f t="shared" si="16"/>
        <v>0</v>
      </c>
      <c r="T65">
        <f t="shared" si="17"/>
        <v>63646.90691479598</v>
      </c>
      <c r="U65">
        <f t="shared" si="11"/>
        <v>5854357358.916648</v>
      </c>
    </row>
    <row r="66" spans="1:21" ht="12.75">
      <c r="A66">
        <f t="shared" si="12"/>
        <v>255</v>
      </c>
      <c r="B66" s="1">
        <f t="shared" si="18"/>
        <v>0.7913007028500981</v>
      </c>
      <c r="C66" s="1">
        <f t="shared" si="5"/>
        <v>-65.37372625761752</v>
      </c>
      <c r="D66">
        <f t="shared" si="19"/>
        <v>137.4286060408484</v>
      </c>
      <c r="E66">
        <f t="shared" si="20"/>
        <v>235.40206884459397</v>
      </c>
      <c r="F66">
        <f t="shared" si="6"/>
        <v>30.105180182420263</v>
      </c>
      <c r="G66">
        <f t="shared" si="21"/>
        <v>-42.466120805758635</v>
      </c>
      <c r="I66">
        <f t="shared" si="22"/>
        <v>113.98399779661382</v>
      </c>
      <c r="J66">
        <f t="shared" si="13"/>
        <v>-3.3136908308365864</v>
      </c>
      <c r="K66">
        <f t="shared" si="14"/>
        <v>-1.787596878218526</v>
      </c>
      <c r="M66" s="11">
        <v>4100</v>
      </c>
      <c r="N66">
        <f t="shared" si="7"/>
        <v>-345173.2746402205</v>
      </c>
      <c r="O66">
        <f t="shared" si="8"/>
        <v>-458078.780892801</v>
      </c>
      <c r="P66">
        <f t="shared" si="9"/>
        <v>112905.5062525805</v>
      </c>
      <c r="Q66">
        <f t="shared" si="10"/>
        <v>932.1448752771944</v>
      </c>
      <c r="R66">
        <f t="shared" si="15"/>
        <v>-2025.0332855112472</v>
      </c>
      <c r="S66">
        <f t="shared" si="16"/>
        <v>0</v>
      </c>
      <c r="T66">
        <f t="shared" si="17"/>
        <v>94709.63930027417</v>
      </c>
      <c r="U66">
        <f t="shared" si="11"/>
        <v>12747653342.151493</v>
      </c>
    </row>
    <row r="67" spans="1:21" ht="12.75">
      <c r="A67">
        <f t="shared" si="12"/>
        <v>260</v>
      </c>
      <c r="B67" s="1">
        <f t="shared" si="18"/>
        <v>0.7506040404197517</v>
      </c>
      <c r="C67" s="1">
        <f t="shared" si="5"/>
        <v>-68.84487268943478</v>
      </c>
      <c r="D67">
        <f t="shared" si="19"/>
        <v>135.43987386377003</v>
      </c>
      <c r="E67">
        <f t="shared" si="20"/>
        <v>233.8373810374211</v>
      </c>
      <c r="F67">
        <f t="shared" si="6"/>
        <v>32.04673861421632</v>
      </c>
      <c r="G67">
        <f t="shared" si="21"/>
        <v>-47.51329455104096</v>
      </c>
      <c r="I67">
        <f t="shared" si="22"/>
        <v>108.12179109809546</v>
      </c>
      <c r="J67">
        <f t="shared" si="13"/>
        <v>-3.5173240191110184</v>
      </c>
      <c r="K67">
        <f t="shared" si="14"/>
        <v>-1.4662176042800816</v>
      </c>
      <c r="M67" s="11">
        <v>3877</v>
      </c>
      <c r="N67">
        <f t="shared" si="7"/>
        <v>-348148.52119047166</v>
      </c>
      <c r="O67">
        <f t="shared" si="8"/>
        <v>-477118.8739918674</v>
      </c>
      <c r="P67">
        <f t="shared" si="9"/>
        <v>128970.35280139575</v>
      </c>
      <c r="Q67">
        <f t="shared" si="10"/>
        <v>1102.2160584223075</v>
      </c>
      <c r="R67">
        <f t="shared" si="15"/>
        <v>-1948.450951420041</v>
      </c>
      <c r="S67">
        <f t="shared" si="16"/>
        <v>0</v>
      </c>
      <c r="T67">
        <f t="shared" si="17"/>
        <v>120937.92952698813</v>
      </c>
      <c r="U67">
        <f t="shared" si="11"/>
        <v>16633351901.71649</v>
      </c>
    </row>
    <row r="68" spans="1:21" ht="12.75">
      <c r="A68">
        <f t="shared" si="12"/>
        <v>265</v>
      </c>
      <c r="B68" s="1">
        <f t="shared" si="18"/>
        <v>0.708048942676431</v>
      </c>
      <c r="C68" s="1">
        <f t="shared" si="5"/>
        <v>-71.51788848904575</v>
      </c>
      <c r="D68">
        <f t="shared" si="19"/>
        <v>133.26806733972884</v>
      </c>
      <c r="E68">
        <f t="shared" si="20"/>
        <v>232.05183790251465</v>
      </c>
      <c r="F68">
        <f t="shared" si="6"/>
        <v>34.076959372020774</v>
      </c>
      <c r="G68">
        <f t="shared" si="21"/>
        <v>-52.65488031727767</v>
      </c>
      <c r="I68">
        <f t="shared" si="22"/>
        <v>101.99188352953334</v>
      </c>
      <c r="J68">
        <f t="shared" si="13"/>
        <v>-3.67794454113727</v>
      </c>
      <c r="K68">
        <f t="shared" si="14"/>
        <v>-1.1565140191497787</v>
      </c>
      <c r="M68" s="11">
        <v>3579</v>
      </c>
      <c r="N68">
        <f t="shared" si="7"/>
        <v>-340353.6313193687</v>
      </c>
      <c r="O68">
        <f t="shared" si="8"/>
        <v>-492527.8043676027</v>
      </c>
      <c r="P68">
        <f t="shared" si="9"/>
        <v>152174.17304823396</v>
      </c>
      <c r="Q68">
        <f t="shared" si="10"/>
        <v>1232.3727365640616</v>
      </c>
      <c r="R68">
        <f t="shared" si="15"/>
        <v>-1904.3579512999647</v>
      </c>
      <c r="S68">
        <f t="shared" si="16"/>
        <v>0</v>
      </c>
      <c r="T68">
        <f t="shared" si="17"/>
        <v>140572.26292481486</v>
      </c>
      <c r="U68">
        <f t="shared" si="11"/>
        <v>23156978942.913857</v>
      </c>
    </row>
    <row r="69" spans="1:21" ht="12.75">
      <c r="A69">
        <f t="shared" si="12"/>
        <v>270</v>
      </c>
      <c r="B69" s="1">
        <f t="shared" si="18"/>
        <v>0.6641021069938233</v>
      </c>
      <c r="C69" s="1">
        <f t="shared" si="5"/>
        <v>-73.44950371553429</v>
      </c>
      <c r="D69">
        <f t="shared" si="19"/>
        <v>130.9450974187838</v>
      </c>
      <c r="E69">
        <f t="shared" si="20"/>
        <v>230.05405696053265</v>
      </c>
      <c r="F69">
        <f t="shared" si="6"/>
        <v>36.17357723389974</v>
      </c>
      <c r="G69">
        <f t="shared" si="21"/>
        <v>-57.881232376343746</v>
      </c>
      <c r="I69">
        <f t="shared" si="22"/>
        <v>95.6615011558386</v>
      </c>
      <c r="J69">
        <f t="shared" si="13"/>
        <v>-3.7982294242168475</v>
      </c>
      <c r="K69">
        <f t="shared" si="14"/>
        <v>-0.8660858016050206</v>
      </c>
      <c r="M69" s="11">
        <v>3276</v>
      </c>
      <c r="N69">
        <f t="shared" si="7"/>
        <v>-327290.9885564208</v>
      </c>
      <c r="O69">
        <f t="shared" si="8"/>
        <v>-504188.3007556811</v>
      </c>
      <c r="P69">
        <f t="shared" si="9"/>
        <v>176897.31219926034</v>
      </c>
      <c r="Q69">
        <f t="shared" si="10"/>
        <v>1327.6861168324817</v>
      </c>
      <c r="R69">
        <f t="shared" si="15"/>
        <v>-1808.115465486562</v>
      </c>
      <c r="S69">
        <f t="shared" si="16"/>
        <v>0</v>
      </c>
      <c r="T69">
        <f t="shared" si="17"/>
        <v>164535.74262374715</v>
      </c>
      <c r="U69">
        <f t="shared" si="11"/>
        <v>31292659063.322582</v>
      </c>
    </row>
    <row r="70" spans="1:21" ht="12.75">
      <c r="A70">
        <f t="shared" si="12"/>
        <v>275</v>
      </c>
      <c r="B70" s="1">
        <f t="shared" si="18"/>
        <v>0.6191945594618594</v>
      </c>
      <c r="C70" s="1">
        <f t="shared" si="5"/>
        <v>-74.69937135549375</v>
      </c>
      <c r="D70">
        <f t="shared" si="19"/>
        <v>128.49981745906993</v>
      </c>
      <c r="E70">
        <f t="shared" si="20"/>
        <v>227.85387362560553</v>
      </c>
      <c r="F70">
        <f t="shared" si="6"/>
        <v>38.31602878533093</v>
      </c>
      <c r="G70">
        <f t="shared" si="21"/>
        <v>-63.18406078462644</v>
      </c>
      <c r="I70">
        <f t="shared" si="22"/>
        <v>89.19273172280502</v>
      </c>
      <c r="J70">
        <f t="shared" si="13"/>
        <v>-3.8812616598201433</v>
      </c>
      <c r="K70">
        <f t="shared" si="14"/>
        <v>-0.5978560105841527</v>
      </c>
      <c r="M70" s="11">
        <v>3804</v>
      </c>
      <c r="N70">
        <f t="shared" si="7"/>
        <v>-372301.66683578084</v>
      </c>
      <c r="O70">
        <f t="shared" si="8"/>
        <v>-512011.61973778927</v>
      </c>
      <c r="P70">
        <f t="shared" si="9"/>
        <v>139709.95290200843</v>
      </c>
      <c r="Q70">
        <f t="shared" si="10"/>
        <v>1390.4583084643027</v>
      </c>
      <c r="R70">
        <f t="shared" si="15"/>
        <v>-1908.2869827449038</v>
      </c>
      <c r="S70">
        <f t="shared" si="16"/>
        <v>0</v>
      </c>
      <c r="T70">
        <f t="shared" si="17"/>
        <v>158303.6325506344</v>
      </c>
      <c r="U70">
        <f t="shared" si="11"/>
        <v>19518870939.881413</v>
      </c>
    </row>
    <row r="71" spans="1:21" ht="12.75">
      <c r="A71">
        <f t="shared" si="12"/>
        <v>280</v>
      </c>
      <c r="B71" s="1">
        <f t="shared" si="18"/>
        <v>0.573722022530357</v>
      </c>
      <c r="C71" s="1">
        <f t="shared" si="5"/>
        <v>-75.32359295939361</v>
      </c>
      <c r="D71">
        <f t="shared" si="19"/>
        <v>125.95801364532</v>
      </c>
      <c r="E71">
        <f t="shared" si="20"/>
        <v>225.46236675393607</v>
      </c>
      <c r="F71">
        <f t="shared" si="6"/>
        <v>40.48543487964206</v>
      </c>
      <c r="G71">
        <f t="shared" si="21"/>
        <v>-68.55645850406526</v>
      </c>
      <c r="I71">
        <f t="shared" si="22"/>
        <v>82.64257761484298</v>
      </c>
      <c r="J71">
        <f t="shared" si="13"/>
        <v>-3.9300924647772266</v>
      </c>
      <c r="K71">
        <f t="shared" si="14"/>
        <v>-0.3515958595253812</v>
      </c>
      <c r="M71" s="11">
        <v>4329</v>
      </c>
      <c r="N71">
        <f t="shared" si="7"/>
        <v>-414957.6736132994</v>
      </c>
      <c r="O71">
        <f t="shared" si="8"/>
        <v>-515938.2211326241</v>
      </c>
      <c r="P71">
        <f t="shared" si="9"/>
        <v>100980.5475193247</v>
      </c>
      <c r="Q71">
        <f t="shared" si="10"/>
        <v>1421.2861765403695</v>
      </c>
      <c r="R71">
        <f t="shared" si="15"/>
        <v>-2219.6834733356377</v>
      </c>
      <c r="S71">
        <f t="shared" si="16"/>
        <v>0</v>
      </c>
      <c r="T71">
        <f t="shared" si="17"/>
        <v>120345.25021066656</v>
      </c>
      <c r="U71">
        <f t="shared" si="11"/>
        <v>10197070977.302593</v>
      </c>
    </row>
    <row r="72" spans="1:21" ht="12.75">
      <c r="A72">
        <f t="shared" si="12"/>
        <v>285</v>
      </c>
      <c r="B72" s="1">
        <f t="shared" si="18"/>
        <v>0.5280482398413725</v>
      </c>
      <c r="C72" s="1">
        <f t="shared" si="5"/>
        <v>-75.37126535160483</v>
      </c>
      <c r="D72">
        <f t="shared" si="19"/>
        <v>123.34263844589353</v>
      </c>
      <c r="E72">
        <f t="shared" si="20"/>
        <v>222.89188665279067</v>
      </c>
      <c r="F72">
        <f t="shared" si="6"/>
        <v>42.66444201674069</v>
      </c>
      <c r="G72">
        <f t="shared" si="21"/>
        <v>-73.99282656639306</v>
      </c>
      <c r="I72">
        <f t="shared" si="22"/>
        <v>76.06343478502744</v>
      </c>
      <c r="J72">
        <f t="shared" si="13"/>
        <v>-3.947485697889323</v>
      </c>
      <c r="K72">
        <f t="shared" si="14"/>
        <v>-0.12523628785860919</v>
      </c>
      <c r="M72" s="11">
        <v>4857</v>
      </c>
      <c r="N72">
        <f t="shared" si="7"/>
        <v>-455016.32892763836</v>
      </c>
      <c r="O72">
        <f t="shared" si="8"/>
        <v>-515938.2211326241</v>
      </c>
      <c r="P72">
        <f t="shared" si="9"/>
        <v>60921.89220498572</v>
      </c>
      <c r="Q72">
        <f t="shared" si="10"/>
        <v>1419.6408607256067</v>
      </c>
      <c r="R72">
        <f t="shared" si="15"/>
        <v>-2518.1669181118973</v>
      </c>
      <c r="S72">
        <f t="shared" si="16"/>
        <v>0</v>
      </c>
      <c r="T72">
        <f t="shared" si="17"/>
        <v>80951.21986215521</v>
      </c>
      <c r="U72">
        <f t="shared" si="11"/>
        <v>3711476949.8359</v>
      </c>
    </row>
    <row r="73" spans="1:21" ht="12.75">
      <c r="A73">
        <f t="shared" si="12"/>
        <v>290</v>
      </c>
      <c r="B73" s="1">
        <f t="shared" si="18"/>
        <v>0.48250972411993637</v>
      </c>
      <c r="C73" s="1">
        <f t="shared" si="5"/>
        <v>-74.88308536563102</v>
      </c>
      <c r="D73">
        <f t="shared" si="19"/>
        <v>120.67416389851955</v>
      </c>
      <c r="E73">
        <f t="shared" si="20"/>
        <v>220.15608503564238</v>
      </c>
      <c r="F73">
        <f t="shared" si="6"/>
        <v>44.836995830502644</v>
      </c>
      <c r="G73">
        <f t="shared" si="21"/>
        <v>-79.48874730000509</v>
      </c>
      <c r="I73">
        <f t="shared" si="22"/>
        <v>69.50377667154723</v>
      </c>
      <c r="J73">
        <f t="shared" si="13"/>
        <v>-3.9357948680881267</v>
      </c>
      <c r="K73">
        <f t="shared" si="14"/>
        <v>0.08417734166228058</v>
      </c>
      <c r="M73" s="11">
        <v>4370</v>
      </c>
      <c r="N73">
        <f t="shared" si="7"/>
        <v>-415601.1237792522</v>
      </c>
      <c r="O73">
        <f t="shared" si="8"/>
        <v>-512011.6197377893</v>
      </c>
      <c r="P73">
        <f t="shared" si="9"/>
        <v>96410.49595853715</v>
      </c>
      <c r="Q73">
        <f t="shared" si="10"/>
        <v>1384.152088555857</v>
      </c>
      <c r="R73">
        <f t="shared" si="15"/>
        <v>-2521.9152255450795</v>
      </c>
      <c r="S73">
        <f t="shared" si="16"/>
        <v>0</v>
      </c>
      <c r="T73">
        <f t="shared" si="17"/>
        <v>78666.19408176144</v>
      </c>
      <c r="U73">
        <f t="shared" si="11"/>
        <v>9294983730.97111</v>
      </c>
    </row>
    <row r="74" spans="1:21" ht="12.75">
      <c r="A74">
        <f t="shared" si="12"/>
        <v>295</v>
      </c>
      <c r="B74" s="1">
        <f t="shared" si="18"/>
        <v>0.4374209325195396</v>
      </c>
      <c r="C74" s="1">
        <f t="shared" si="5"/>
        <v>-73.89122196689588</v>
      </c>
      <c r="D74">
        <f t="shared" si="19"/>
        <v>117.97097535748937</v>
      </c>
      <c r="E74">
        <f t="shared" si="20"/>
        <v>217.2699461433602</v>
      </c>
      <c r="F74">
        <f t="shared" si="6"/>
        <v>46.988094183127444</v>
      </c>
      <c r="G74">
        <f t="shared" si="21"/>
        <v>-85.04083748841049</v>
      </c>
      <c r="I74">
        <f t="shared" si="22"/>
        <v>63.008899687461955</v>
      </c>
      <c r="J74">
        <f t="shared" si="13"/>
        <v>-3.8969261904511643</v>
      </c>
      <c r="K74">
        <f t="shared" si="14"/>
        <v>0.27986567361307413</v>
      </c>
      <c r="M74" s="11">
        <v>3922</v>
      </c>
      <c r="N74">
        <f t="shared" si="7"/>
        <v>-376993.0144751028</v>
      </c>
      <c r="O74">
        <f t="shared" si="8"/>
        <v>-504188.3007556812</v>
      </c>
      <c r="P74">
        <f t="shared" si="9"/>
        <v>127195.28628057835</v>
      </c>
      <c r="Q74">
        <f t="shared" si="10"/>
        <v>1312.695287110012</v>
      </c>
      <c r="R74">
        <f t="shared" si="15"/>
        <v>-2243.979998001462</v>
      </c>
      <c r="S74">
        <f t="shared" si="16"/>
        <v>0</v>
      </c>
      <c r="T74">
        <f t="shared" si="17"/>
        <v>111802.89111955775</v>
      </c>
      <c r="U74">
        <f t="shared" si="11"/>
        <v>16178640851.998283</v>
      </c>
    </row>
    <row r="75" spans="1:21" ht="12.75">
      <c r="A75">
        <f t="shared" si="12"/>
        <v>300</v>
      </c>
      <c r="B75" s="1">
        <f t="shared" si="18"/>
        <v>0.3930792808961801</v>
      </c>
      <c r="C75" s="1">
        <f t="shared" si="5"/>
        <v>-72.41990263856177</v>
      </c>
      <c r="D75">
        <f t="shared" si="19"/>
        <v>115.24975969617586</v>
      </c>
      <c r="E75">
        <f t="shared" si="20"/>
        <v>214.24981789666487</v>
      </c>
      <c r="F75">
        <f t="shared" si="6"/>
        <v>49.10354794389827</v>
      </c>
      <c r="G75">
        <f t="shared" si="21"/>
        <v>-90.64659938895318</v>
      </c>
      <c r="I75">
        <f t="shared" si="22"/>
        <v>56.621645508701675</v>
      </c>
      <c r="J75">
        <f t="shared" si="13"/>
        <v>-3.832352507256168</v>
      </c>
      <c r="K75">
        <f t="shared" si="14"/>
        <v>0.4649491169686524</v>
      </c>
      <c r="M75" s="11">
        <v>3389</v>
      </c>
      <c r="N75">
        <f t="shared" si="7"/>
        <v>-330886.5351555887</v>
      </c>
      <c r="O75">
        <f t="shared" si="8"/>
        <v>-492527.8043676026</v>
      </c>
      <c r="P75">
        <f t="shared" si="9"/>
        <v>161641.26921201393</v>
      </c>
      <c r="Q75">
        <f t="shared" si="10"/>
        <v>1202.3258259358104</v>
      </c>
      <c r="R75">
        <f t="shared" si="15"/>
        <v>-1945.71730420485</v>
      </c>
      <c r="S75">
        <f t="shared" si="16"/>
        <v>0</v>
      </c>
      <c r="T75">
        <f t="shared" si="17"/>
        <v>144418.27774629614</v>
      </c>
      <c r="U75">
        <f t="shared" si="11"/>
        <v>26127899912.47076</v>
      </c>
    </row>
    <row r="76" spans="1:21" ht="12.75">
      <c r="A76">
        <f t="shared" si="12"/>
        <v>305</v>
      </c>
      <c r="B76" s="1">
        <f t="shared" si="18"/>
        <v>0.34976967790807</v>
      </c>
      <c r="C76" s="1">
        <f t="shared" si="5"/>
        <v>-70.48636928374756</v>
      </c>
      <c r="D76">
        <f t="shared" si="19"/>
        <v>112.52586431909302</v>
      </c>
      <c r="E76">
        <f t="shared" si="20"/>
        <v>211.1134414826638</v>
      </c>
      <c r="F76">
        <f t="shared" si="6"/>
        <v>51.169764676123535</v>
      </c>
      <c r="G76">
        <f t="shared" si="21"/>
        <v>-96.30427803381076</v>
      </c>
      <c r="I76">
        <f t="shared" si="22"/>
        <v>50.383054194693784</v>
      </c>
      <c r="J76">
        <f t="shared" si="13"/>
        <v>-3.7431547884047345</v>
      </c>
      <c r="K76">
        <f t="shared" si="14"/>
        <v>0.6422492657009489</v>
      </c>
      <c r="M76" s="11">
        <v>3615</v>
      </c>
      <c r="N76">
        <f t="shared" si="7"/>
        <v>-337982.14071556955</v>
      </c>
      <c r="O76">
        <f t="shared" si="8"/>
        <v>-477118.8739918673</v>
      </c>
      <c r="P76">
        <f t="shared" si="9"/>
        <v>139136.73327629775</v>
      </c>
      <c r="Q76">
        <f t="shared" si="10"/>
        <v>1049.0674862167298</v>
      </c>
      <c r="R76">
        <f t="shared" si="15"/>
        <v>-1820.6288984713028</v>
      </c>
      <c r="S76">
        <f t="shared" si="16"/>
        <v>0</v>
      </c>
      <c r="T76">
        <f t="shared" si="17"/>
        <v>150389.00124415584</v>
      </c>
      <c r="U76">
        <f t="shared" si="11"/>
        <v>19359030546.79962</v>
      </c>
    </row>
    <row r="77" spans="1:21" ht="12.75">
      <c r="A77">
        <f t="shared" si="12"/>
        <v>310</v>
      </c>
      <c r="B77" s="1">
        <f t="shared" si="18"/>
        <v>0.30776841941752187</v>
      </c>
      <c r="C77" s="1">
        <f t="shared" si="5"/>
        <v>-68.10201221086751</v>
      </c>
      <c r="D77">
        <f t="shared" si="19"/>
        <v>109.8136169325157</v>
      </c>
      <c r="E77">
        <f t="shared" si="20"/>
        <v>207.87997718880504</v>
      </c>
      <c r="F77">
        <f t="shared" si="6"/>
        <v>53.17356284281451</v>
      </c>
      <c r="G77">
        <f t="shared" si="21"/>
        <v>-102.01272725369711</v>
      </c>
      <c r="I77">
        <f t="shared" si="22"/>
        <v>44.33292516283752</v>
      </c>
      <c r="J77">
        <f t="shared" si="13"/>
        <v>-3.630077419113759</v>
      </c>
      <c r="K77">
        <f t="shared" si="14"/>
        <v>0.8141896264800841</v>
      </c>
      <c r="M77" s="11">
        <v>3841</v>
      </c>
      <c r="N77">
        <f t="shared" si="7"/>
        <v>-341940.2033107658</v>
      </c>
      <c r="O77">
        <f t="shared" si="8"/>
        <v>-458078.78089280106</v>
      </c>
      <c r="P77">
        <f t="shared" si="9"/>
        <v>116138.57758203527</v>
      </c>
      <c r="Q77">
        <f t="shared" si="10"/>
        <v>847.5286501852711</v>
      </c>
      <c r="R77">
        <f t="shared" si="15"/>
        <v>-1879.573419230013</v>
      </c>
      <c r="S77">
        <f t="shared" si="16"/>
        <v>0</v>
      </c>
      <c r="T77">
        <f t="shared" si="17"/>
        <v>127637.65542916651</v>
      </c>
      <c r="U77">
        <f t="shared" si="11"/>
        <v>13488169202.778425</v>
      </c>
    </row>
    <row r="78" spans="1:21" ht="12.75">
      <c r="A78">
        <f t="shared" si="12"/>
        <v>315</v>
      </c>
      <c r="B78" s="1">
        <f t="shared" si="18"/>
        <v>0.26734636642564036</v>
      </c>
      <c r="C78" s="1">
        <f t="shared" si="5"/>
        <v>-65.27359286050226</v>
      </c>
      <c r="D78">
        <f t="shared" si="19"/>
        <v>107.12660350657663</v>
      </c>
      <c r="E78">
        <f t="shared" si="20"/>
        <v>204.57002356372993</v>
      </c>
      <c r="F78">
        <f t="shared" si="6"/>
        <v>55.102020193616156</v>
      </c>
      <c r="G78">
        <f t="shared" si="21"/>
        <v>-107.77128332883456</v>
      </c>
      <c r="I78">
        <f t="shared" si="22"/>
        <v>38.510274958476394</v>
      </c>
      <c r="J78">
        <f t="shared" si="13"/>
        <v>-3.4935901226166752</v>
      </c>
      <c r="K78">
        <f t="shared" si="14"/>
        <v>0.9827478446927895</v>
      </c>
      <c r="M78" s="11">
        <v>4112</v>
      </c>
      <c r="N78">
        <f t="shared" si="7"/>
        <v>-345427.853417778</v>
      </c>
      <c r="O78">
        <f t="shared" si="8"/>
        <v>-435552.43167561037</v>
      </c>
      <c r="P78">
        <f t="shared" si="9"/>
        <v>90124.57825783239</v>
      </c>
      <c r="Q78">
        <f t="shared" si="10"/>
        <v>590.2784022102201</v>
      </c>
      <c r="R78">
        <f t="shared" si="15"/>
        <v>-1929.4807114701678</v>
      </c>
      <c r="S78">
        <f t="shared" si="16"/>
        <v>0</v>
      </c>
      <c r="T78">
        <f t="shared" si="17"/>
        <v>103131.57791993383</v>
      </c>
      <c r="U78">
        <f t="shared" si="11"/>
        <v>8122439606.152154</v>
      </c>
    </row>
    <row r="79" spans="1:21" ht="12.75">
      <c r="A79">
        <f t="shared" si="12"/>
        <v>320</v>
      </c>
      <c r="B79" s="1">
        <f aca="true" t="shared" si="23" ref="B79:B87">($B$11-F79)/($B$11-$B$12)</f>
        <v>0.22877136309488413</v>
      </c>
      <c r="C79" s="1">
        <f t="shared" si="5"/>
        <v>-62.00452919976859</v>
      </c>
      <c r="D79">
        <f aca="true" t="shared" si="24" ref="D79:D87">DEGREES(ACOS(($B$5^2+$B$4^2-$B$7^2-$B$8^2+2*$B$7*$B$8*COS(RADIANS(A79-$B$10)))/(2*$B$5*$B$4)))</f>
        <v>104.47790542352229</v>
      </c>
      <c r="E79">
        <f aca="true" t="shared" si="25" ref="E79:E87">SQRT($B$8^2+$B$7^2-2*$B$8*$B$7*COS(RADIANS(A79-$B$10)))</f>
        <v>201.20562609498333</v>
      </c>
      <c r="F79">
        <f t="shared" si="6"/>
        <v>56.94235840566431</v>
      </c>
      <c r="G79">
        <f aca="true" t="shared" si="26" ref="G79:G87">D79+F79-(A79-$B$10)</f>
        <v>-113.57964319984075</v>
      </c>
      <c r="I79">
        <f aca="true" t="shared" si="27" ref="I79:I87">$B$3*B79*($B$11-$B$12)*2*3.1415/360</f>
        <v>32.953685562282935</v>
      </c>
      <c r="J79">
        <f t="shared" si="13"/>
        <v>-3.3339536377160752</v>
      </c>
      <c r="K79">
        <f t="shared" si="14"/>
        <v>1.1494286684310573</v>
      </c>
      <c r="M79" s="11">
        <v>4247</v>
      </c>
      <c r="N79">
        <f t="shared" si="7"/>
        <v>-336498.5799671441</v>
      </c>
      <c r="O79">
        <f t="shared" si="8"/>
        <v>-409711.2654596194</v>
      </c>
      <c r="P79">
        <f t="shared" si="9"/>
        <v>73212.68549247528</v>
      </c>
      <c r="Q79">
        <f t="shared" si="10"/>
        <v>266.8501997746678</v>
      </c>
      <c r="R79">
        <f t="shared" si="15"/>
        <v>-1935.313781782547</v>
      </c>
      <c r="S79">
        <f t="shared" si="16"/>
        <v>0</v>
      </c>
      <c r="T79">
        <f t="shared" si="17"/>
        <v>81668.63187515383</v>
      </c>
      <c r="U79">
        <f t="shared" si="11"/>
        <v>5360097317.020101</v>
      </c>
    </row>
    <row r="80" spans="1:21" ht="12.75">
      <c r="A80">
        <f t="shared" si="12"/>
        <v>325</v>
      </c>
      <c r="B80" s="1">
        <f t="shared" si="23"/>
        <v>0.19230985510462</v>
      </c>
      <c r="C80" s="1">
        <f aca="true" t="shared" si="28" ref="C80:C87">$E$8*$B$8*$B$3/$B$5*SIN(RADIANS(G80))/SIN(RADIANS(D80))</f>
        <v>-58.29625400097441</v>
      </c>
      <c r="D80">
        <f t="shared" si="24"/>
        <v>101.88029799752319</v>
      </c>
      <c r="E80">
        <f t="shared" si="25"/>
        <v>197.81027054932545</v>
      </c>
      <c r="F80">
        <f aca="true" t="shared" si="29" ref="F80:F87">DEGREES(ACOS(($B$5^2+E80^2-$B$4^2)/(2*$B$5*E80)))-DEGREES(ASIN($B$8*SIN(RADIANS(A80-$B$10))/E80))</f>
        <v>58.68186587499695</v>
      </c>
      <c r="G80">
        <f t="shared" si="26"/>
        <v>-119.4377431565072</v>
      </c>
      <c r="I80">
        <f t="shared" si="27"/>
        <v>27.701537508509762</v>
      </c>
      <c r="J80">
        <f t="shared" si="13"/>
        <v>-3.151288832263903</v>
      </c>
      <c r="K80">
        <f t="shared" si="14"/>
        <v>1.3152392088239915</v>
      </c>
      <c r="M80" s="11">
        <v>3976</v>
      </c>
      <c r="N80">
        <f aca="true" t="shared" si="30" ref="N80:N87">C80*(M80-$L$7)</f>
        <v>-300575.48562902404</v>
      </c>
      <c r="O80">
        <f aca="true" t="shared" si="31" ref="O80:O87">$E$8*$L$8*SIN(RADIANS(A80-$B$9))</f>
        <v>-380751.9491230549</v>
      </c>
      <c r="P80">
        <f aca="true" t="shared" si="32" ref="P80:P87">N80-O80</f>
        <v>80176.46349403088</v>
      </c>
      <c r="Q80">
        <f aca="true" t="shared" si="33" ref="Q80:Q87">IF(($F$3+O80)/C80+$L$7,($F$3+O80)/C80+$L$7,$F$4)</f>
        <v>-137.8755931377775</v>
      </c>
      <c r="R80">
        <f t="shared" si="15"/>
        <v>-1799.5172269240331</v>
      </c>
      <c r="S80">
        <f t="shared" si="16"/>
        <v>0</v>
      </c>
      <c r="T80">
        <f t="shared" si="17"/>
        <v>76694.57449325308</v>
      </c>
      <c r="U80">
        <f aca="true" t="shared" si="34" ref="U80:U87">P80^2</f>
        <v>6428265298.409666</v>
      </c>
    </row>
    <row r="81" spans="1:21" ht="12.75">
      <c r="A81">
        <f aca="true" t="shared" si="35" ref="A81:A87">A80+$E$8*5</f>
        <v>330</v>
      </c>
      <c r="B81" s="1">
        <f t="shared" si="23"/>
        <v>0.1582276562269396</v>
      </c>
      <c r="C81" s="1">
        <f t="shared" si="28"/>
        <v>-54.14967401381704</v>
      </c>
      <c r="D81">
        <f t="shared" si="24"/>
        <v>99.3464123828263</v>
      </c>
      <c r="E81">
        <f t="shared" si="25"/>
        <v>194.40885494456944</v>
      </c>
      <c r="F81">
        <f t="shared" si="29"/>
        <v>60.307861144716355</v>
      </c>
      <c r="G81">
        <f t="shared" si="26"/>
        <v>-125.34563350148466</v>
      </c>
      <c r="I81">
        <f t="shared" si="27"/>
        <v>22.79212030745717</v>
      </c>
      <c r="J81">
        <f aca="true" t="shared" si="36" ref="J81:J87">(I81-I80)/10*$E$10</f>
        <v>-2.9456503206315547</v>
      </c>
      <c r="K81">
        <f aca="true" t="shared" si="37" ref="K81:K87">(J81-J80)/0.8333*$E$8*$E$10</f>
        <v>1.4806565100133096</v>
      </c>
      <c r="M81" s="11">
        <v>3750</v>
      </c>
      <c r="N81">
        <f t="shared" si="30"/>
        <v>-266957.892888118</v>
      </c>
      <c r="O81">
        <f t="shared" si="31"/>
        <v>-348894.8805493512</v>
      </c>
      <c r="P81">
        <f t="shared" si="32"/>
        <v>81936.98766123323</v>
      </c>
      <c r="Q81">
        <f t="shared" si="33"/>
        <v>-646.3886519062278</v>
      </c>
      <c r="R81">
        <f aca="true" t="shared" si="38" ref="R81:R87">(M81+M80)/2*(I81-I80)/12</f>
        <v>-1580.4232206388467</v>
      </c>
      <c r="S81">
        <f aca="true" t="shared" si="39" ref="S81:S87">IF(P81&lt;0,(P80+P81)/2,0)</f>
        <v>0</v>
      </c>
      <c r="T81">
        <f aca="true" t="shared" si="40" ref="T81:T87">IF(P81&gt;=0,(P80+P81)/2,0)</f>
        <v>81056.72557763205</v>
      </c>
      <c r="U81">
        <f t="shared" si="34"/>
        <v>6713669946.997087</v>
      </c>
    </row>
    <row r="82" spans="1:21" ht="12.75">
      <c r="A82">
        <f t="shared" si="35"/>
        <v>335</v>
      </c>
      <c r="B82" s="1">
        <f t="shared" si="23"/>
        <v>0.12678979215358843</v>
      </c>
      <c r="C82" s="1">
        <f t="shared" si="28"/>
        <v>-49.56676225709645</v>
      </c>
      <c r="D82">
        <f t="shared" si="24"/>
        <v>96.88886199129406</v>
      </c>
      <c r="E82">
        <f t="shared" si="25"/>
        <v>191.02763286745292</v>
      </c>
      <c r="F82">
        <f t="shared" si="29"/>
        <v>61.80770035570184</v>
      </c>
      <c r="G82">
        <f t="shared" si="26"/>
        <v>-131.30334468203142</v>
      </c>
      <c r="I82">
        <f t="shared" si="27"/>
        <v>18.263609949308357</v>
      </c>
      <c r="J82">
        <f t="shared" si="36"/>
        <v>-2.717106214889289</v>
      </c>
      <c r="K82">
        <f t="shared" si="37"/>
        <v>1.6455833846797017</v>
      </c>
      <c r="M82" s="11">
        <v>3660</v>
      </c>
      <c r="N82">
        <f t="shared" si="30"/>
        <v>-239903.1293243468</v>
      </c>
      <c r="O82">
        <f t="shared" si="31"/>
        <v>-314382.51126617816</v>
      </c>
      <c r="P82">
        <f t="shared" si="32"/>
        <v>74479.38194183135</v>
      </c>
      <c r="Q82">
        <f t="shared" si="33"/>
        <v>-1293.3317666521093</v>
      </c>
      <c r="R82">
        <f t="shared" si="38"/>
        <v>-1398.1775730784466</v>
      </c>
      <c r="S82">
        <f t="shared" si="39"/>
        <v>0</v>
      </c>
      <c r="T82">
        <f t="shared" si="40"/>
        <v>78208.18480153229</v>
      </c>
      <c r="U82">
        <f t="shared" si="34"/>
        <v>5547178334.437194</v>
      </c>
    </row>
    <row r="83" spans="1:21" ht="12.75">
      <c r="A83">
        <f t="shared" si="35"/>
        <v>340</v>
      </c>
      <c r="B83" s="1">
        <f t="shared" si="23"/>
        <v>0.09825933273032743</v>
      </c>
      <c r="C83" s="1">
        <f t="shared" si="28"/>
        <v>-44.552308345731234</v>
      </c>
      <c r="D83">
        <f t="shared" si="24"/>
        <v>94.52033331383082</v>
      </c>
      <c r="E83">
        <f t="shared" si="25"/>
        <v>187.69411962228432</v>
      </c>
      <c r="F83">
        <f t="shared" si="29"/>
        <v>63.16883295843199</v>
      </c>
      <c r="G83">
        <f t="shared" si="26"/>
        <v>-137.31074075676452</v>
      </c>
      <c r="I83">
        <f t="shared" si="27"/>
        <v>14.153900691722354</v>
      </c>
      <c r="J83">
        <f t="shared" si="36"/>
        <v>-2.4658255545516017</v>
      </c>
      <c r="K83">
        <f t="shared" si="37"/>
        <v>1.8092931261563936</v>
      </c>
      <c r="M83" s="11">
        <v>3705</v>
      </c>
      <c r="N83">
        <f t="shared" si="30"/>
        <v>-217638.02626889708</v>
      </c>
      <c r="O83">
        <f t="shared" si="31"/>
        <v>-277477.5012429191</v>
      </c>
      <c r="P83">
        <f t="shared" si="32"/>
        <v>59839.47497402204</v>
      </c>
      <c r="Q83">
        <f t="shared" si="33"/>
        <v>-2134.4398558903213</v>
      </c>
      <c r="R83">
        <f t="shared" si="38"/>
        <v>-1261.1670284217046</v>
      </c>
      <c r="S83">
        <f t="shared" si="39"/>
        <v>0</v>
      </c>
      <c r="T83">
        <f t="shared" si="40"/>
        <v>67159.4284579267</v>
      </c>
      <c r="U83">
        <f t="shared" si="34"/>
        <v>3580762765.1666102</v>
      </c>
    </row>
    <row r="84" spans="1:21" ht="12.75">
      <c r="A84">
        <f t="shared" si="35"/>
        <v>345</v>
      </c>
      <c r="B84" s="1">
        <f t="shared" si="23"/>
        <v>0.07289511374802841</v>
      </c>
      <c r="C84" s="1">
        <f t="shared" si="28"/>
        <v>-39.115833002427316</v>
      </c>
      <c r="D84">
        <f t="shared" si="24"/>
        <v>92.25363975192067</v>
      </c>
      <c r="E84">
        <f t="shared" si="25"/>
        <v>184.4369516546538</v>
      </c>
      <c r="F84">
        <f t="shared" si="29"/>
        <v>64.37891040189042</v>
      </c>
      <c r="G84">
        <f t="shared" si="26"/>
        <v>-143.36735687521622</v>
      </c>
      <c r="I84">
        <f t="shared" si="27"/>
        <v>10.500276892099762</v>
      </c>
      <c r="J84">
        <f t="shared" si="36"/>
        <v>-2.192174279773555</v>
      </c>
      <c r="K84">
        <f t="shared" si="37"/>
        <v>1.9703679931216604</v>
      </c>
      <c r="M84" s="11">
        <v>3750</v>
      </c>
      <c r="N84">
        <f t="shared" si="30"/>
        <v>-192841.05670196668</v>
      </c>
      <c r="O84">
        <f t="shared" si="31"/>
        <v>-238460.71988970495</v>
      </c>
      <c r="P84">
        <f t="shared" si="32"/>
        <v>45619.663187738275</v>
      </c>
      <c r="Q84">
        <f t="shared" si="33"/>
        <v>-3264.559469952619</v>
      </c>
      <c r="R84">
        <f t="shared" si="38"/>
        <v>-1134.9068927577675</v>
      </c>
      <c r="S84">
        <f t="shared" si="39"/>
        <v>0</v>
      </c>
      <c r="T84">
        <f t="shared" si="40"/>
        <v>52729.56908088016</v>
      </c>
      <c r="U84">
        <f t="shared" si="34"/>
        <v>2081153669.3626828</v>
      </c>
    </row>
    <row r="85" spans="1:21" ht="12.75">
      <c r="A85">
        <f t="shared" si="35"/>
        <v>350</v>
      </c>
      <c r="B85" s="1">
        <f t="shared" si="23"/>
        <v>0.0509482544959356</v>
      </c>
      <c r="C85" s="1">
        <f t="shared" si="28"/>
        <v>-33.273641762970925</v>
      </c>
      <c r="D85">
        <f t="shared" si="24"/>
        <v>90.10173593265729</v>
      </c>
      <c r="E85">
        <f t="shared" si="25"/>
        <v>181.2856890829155</v>
      </c>
      <c r="F85">
        <f t="shared" si="29"/>
        <v>65.4259522743111</v>
      </c>
      <c r="G85">
        <f t="shared" si="26"/>
        <v>-149.47221882205895</v>
      </c>
      <c r="I85">
        <f t="shared" si="27"/>
        <v>7.338911373753906</v>
      </c>
      <c r="J85">
        <f t="shared" si="36"/>
        <v>-1.896819311007514</v>
      </c>
      <c r="K85">
        <f t="shared" si="37"/>
        <v>2.1266408407491255</v>
      </c>
      <c r="M85" s="11">
        <v>4067</v>
      </c>
      <c r="N85">
        <f t="shared" si="30"/>
        <v>-174586.79833030843</v>
      </c>
      <c r="O85">
        <f t="shared" si="31"/>
        <v>-197629.10847161114</v>
      </c>
      <c r="P85">
        <f t="shared" si="32"/>
        <v>23042.310141302703</v>
      </c>
      <c r="Q85">
        <f t="shared" si="33"/>
        <v>-4857.712599063057</v>
      </c>
      <c r="R85">
        <f t="shared" si="38"/>
        <v>-1029.6830940378984</v>
      </c>
      <c r="S85">
        <f t="shared" si="39"/>
        <v>0</v>
      </c>
      <c r="T85">
        <f t="shared" si="40"/>
        <v>34330.98666452049</v>
      </c>
      <c r="U85">
        <f t="shared" si="34"/>
        <v>530948056.6479814</v>
      </c>
    </row>
    <row r="86" spans="1:21" ht="12.75">
      <c r="A86">
        <f t="shared" si="35"/>
        <v>355</v>
      </c>
      <c r="B86" s="1">
        <f t="shared" si="23"/>
        <v>0.03265740516289908</v>
      </c>
      <c r="C86" s="1">
        <f t="shared" si="28"/>
        <v>-27.050948639332056</v>
      </c>
      <c r="D86">
        <f t="shared" si="24"/>
        <v>88.0776892161139</v>
      </c>
      <c r="E86">
        <f t="shared" si="25"/>
        <v>178.2705513053208</v>
      </c>
      <c r="F86">
        <f t="shared" si="29"/>
        <v>66.29857304040094</v>
      </c>
      <c r="G86">
        <f t="shared" si="26"/>
        <v>-155.62364477251248</v>
      </c>
      <c r="I86">
        <f t="shared" si="27"/>
        <v>4.70418083128656</v>
      </c>
      <c r="J86">
        <f t="shared" si="36"/>
        <v>-1.5808383254804077</v>
      </c>
      <c r="K86">
        <f t="shared" si="37"/>
        <v>2.2751541019592434</v>
      </c>
      <c r="M86" s="11">
        <v>4428</v>
      </c>
      <c r="N86">
        <f t="shared" si="30"/>
        <v>-151701.71996937416</v>
      </c>
      <c r="O86">
        <f t="shared" si="31"/>
        <v>-155293.42020633</v>
      </c>
      <c r="P86">
        <f t="shared" si="32"/>
        <v>3591.700236955832</v>
      </c>
      <c r="Q86">
        <f t="shared" si="33"/>
        <v>-7268.754298035477</v>
      </c>
      <c r="R86">
        <f t="shared" si="38"/>
        <v>-932.5848315941711</v>
      </c>
      <c r="S86">
        <f t="shared" si="39"/>
        <v>0</v>
      </c>
      <c r="T86">
        <f t="shared" si="40"/>
        <v>13317.005189129268</v>
      </c>
      <c r="U86">
        <f t="shared" si="34"/>
        <v>12900310.592148582</v>
      </c>
    </row>
    <row r="87" spans="1:21" ht="12.75">
      <c r="A87">
        <f t="shared" si="35"/>
        <v>360</v>
      </c>
      <c r="B87" s="1">
        <f t="shared" si="23"/>
        <v>0.01824271666040416</v>
      </c>
      <c r="C87" s="1">
        <f t="shared" si="28"/>
        <v>-20.483944083539257</v>
      </c>
      <c r="D87">
        <f t="shared" si="24"/>
        <v>86.1946049390243</v>
      </c>
      <c r="E87">
        <f t="shared" si="25"/>
        <v>175.42207691415362</v>
      </c>
      <c r="F87">
        <f t="shared" si="29"/>
        <v>66.98626972932803</v>
      </c>
      <c r="G87">
        <f t="shared" si="26"/>
        <v>-161.819032360675</v>
      </c>
      <c r="I87">
        <f t="shared" si="27"/>
        <v>2.627797205454612</v>
      </c>
      <c r="J87">
        <f t="shared" si="36"/>
        <v>-1.2458301754991683</v>
      </c>
      <c r="K87">
        <f t="shared" si="37"/>
        <v>2.4121551660715665</v>
      </c>
      <c r="M87" s="11">
        <v>4744</v>
      </c>
      <c r="N87">
        <f t="shared" si="30"/>
        <v>-121346.88475088656</v>
      </c>
      <c r="O87">
        <f t="shared" si="31"/>
        <v>-111775.85524454784</v>
      </c>
      <c r="P87">
        <f t="shared" si="32"/>
        <v>-9571.029506338717</v>
      </c>
      <c r="Q87">
        <f t="shared" si="33"/>
        <v>-11345.236924405566</v>
      </c>
      <c r="R87">
        <f t="shared" si="38"/>
        <v>-793.5246090054426</v>
      </c>
      <c r="S87">
        <f t="shared" si="39"/>
        <v>-2989.664634691442</v>
      </c>
      <c r="T87">
        <f t="shared" si="40"/>
        <v>0</v>
      </c>
      <c r="U87">
        <f t="shared" si="34"/>
        <v>91604605.81120634</v>
      </c>
    </row>
    <row r="88" spans="19:21" ht="12.75">
      <c r="S88">
        <f>SUM(S15:S87)</f>
        <v>-161777.75417092105</v>
      </c>
      <c r="T88">
        <f>SUM(T15:T87)</f>
        <v>5749426.602584742</v>
      </c>
      <c r="U88">
        <f>SUM(U15:U87)</f>
        <v>646423889216.6512</v>
      </c>
    </row>
    <row r="89" spans="17:19" ht="12.75">
      <c r="Q89" s="10" t="s">
        <v>80</v>
      </c>
      <c r="R89">
        <f>SUM(R16:R87)</f>
        <v>40645.25822689431</v>
      </c>
      <c r="S89" s="10" t="s">
        <v>68</v>
      </c>
    </row>
    <row r="90" spans="17:19" ht="12.75">
      <c r="Q90" s="10" t="s">
        <v>70</v>
      </c>
      <c r="R90" s="5">
        <f>E10*R89/33000</f>
        <v>7.39004695034442</v>
      </c>
      <c r="S90" s="10" t="s">
        <v>69</v>
      </c>
    </row>
    <row r="91" spans="17:19" ht="12.75">
      <c r="Q91" s="10" t="s">
        <v>104</v>
      </c>
      <c r="R91" s="5">
        <f>SQRT(U88/73)/SUM(P15:P87)*73</f>
        <v>1.2293938141618566</v>
      </c>
      <c r="S91" s="10"/>
    </row>
    <row r="92" spans="17:19" ht="12.75">
      <c r="Q92" s="10" t="s">
        <v>91</v>
      </c>
      <c r="R92" s="5">
        <f>R90*R91/0.9/0.9</f>
        <v>11.216392601381632</v>
      </c>
      <c r="S92" s="10" t="s">
        <v>107</v>
      </c>
    </row>
    <row r="94" spans="14:19" ht="12.75">
      <c r="N94" t="s">
        <v>112</v>
      </c>
      <c r="R94" s="20">
        <f>-100*S88/(T88-S88)</f>
        <v>2.7367985338898353</v>
      </c>
      <c r="S94" s="10" t="s">
        <v>101</v>
      </c>
    </row>
  </sheetData>
  <sheetProtection/>
  <mergeCells count="3">
    <mergeCell ref="E1:G1"/>
    <mergeCell ref="F2:G2"/>
    <mergeCell ref="I12:K12"/>
  </mergeCells>
  <printOptions gridLines="1"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4"/>
  <sheetViews>
    <sheetView zoomScalePageLayoutView="0" workbookViewId="0" topLeftCell="O52">
      <selection activeCell="Y90" sqref="Y90"/>
    </sheetView>
  </sheetViews>
  <sheetFormatPr defaultColWidth="9.140625" defaultRowHeight="12.75"/>
  <cols>
    <col min="1" max="2" width="9.140625" style="24" customWidth="1"/>
    <col min="3" max="3" width="12.421875" style="24" bestFit="1" customWidth="1"/>
    <col min="4" max="4" width="9.140625" style="24" customWidth="1"/>
    <col min="5" max="5" width="9.28125" style="24" customWidth="1"/>
    <col min="6" max="11" width="9.140625" style="24" customWidth="1"/>
    <col min="12" max="12" width="12.421875" style="24" bestFit="1" customWidth="1"/>
    <col min="13" max="19" width="9.140625" style="24" customWidth="1"/>
    <col min="20" max="20" width="12.421875" style="24" customWidth="1"/>
    <col min="21" max="21" width="10.140625" style="24" customWidth="1"/>
    <col min="22" max="22" width="10.7109375" style="24" customWidth="1"/>
    <col min="23" max="23" width="13.00390625" style="24" customWidth="1"/>
    <col min="24" max="24" width="11.00390625" style="24" customWidth="1"/>
    <col min="25" max="25" width="12.140625" style="24" customWidth="1"/>
    <col min="26" max="26" width="11.28125" style="24" customWidth="1"/>
    <col min="27" max="27" width="10.8515625" style="24" customWidth="1"/>
    <col min="28" max="28" width="10.421875" style="24" customWidth="1"/>
    <col min="29" max="16384" width="9.140625" style="24" customWidth="1"/>
  </cols>
  <sheetData>
    <row r="1" spans="1:8" ht="12.75">
      <c r="A1" s="24" t="s">
        <v>22</v>
      </c>
      <c r="E1" s="41" t="s">
        <v>72</v>
      </c>
      <c r="F1" s="42"/>
      <c r="G1" s="42"/>
      <c r="H1" s="43"/>
    </row>
    <row r="2" spans="1:8" ht="12.75">
      <c r="A2" s="24" t="s">
        <v>0</v>
      </c>
      <c r="E2" s="7" t="s">
        <v>23</v>
      </c>
      <c r="F2" s="44" t="s">
        <v>136</v>
      </c>
      <c r="G2" s="43"/>
      <c r="H2"/>
    </row>
    <row r="3" spans="1:21" ht="12.75">
      <c r="A3" s="24" t="s">
        <v>1</v>
      </c>
      <c r="C3" s="30">
        <v>141.73</v>
      </c>
      <c r="D3" s="24" t="s">
        <v>7</v>
      </c>
      <c r="E3" s="7" t="s">
        <v>34</v>
      </c>
      <c r="F3" s="11">
        <v>320000</v>
      </c>
      <c r="G3" s="7" t="s">
        <v>71</v>
      </c>
      <c r="H3"/>
      <c r="T3" s="28"/>
      <c r="U3" s="31" t="s">
        <v>113</v>
      </c>
    </row>
    <row r="4" spans="1:21" ht="12.75">
      <c r="A4" s="24" t="s">
        <v>2</v>
      </c>
      <c r="C4" s="30">
        <v>134.65</v>
      </c>
      <c r="D4" s="24" t="s">
        <v>7</v>
      </c>
      <c r="E4" s="10" t="s">
        <v>92</v>
      </c>
      <c r="F4" s="11">
        <v>25600</v>
      </c>
      <c r="G4" s="10" t="s">
        <v>93</v>
      </c>
      <c r="H4"/>
      <c r="T4" s="28"/>
      <c r="U4" s="31" t="s">
        <v>114</v>
      </c>
    </row>
    <row r="5" spans="1:21" ht="12.75">
      <c r="A5" s="24" t="s">
        <v>3</v>
      </c>
      <c r="C5" s="30">
        <v>94.49</v>
      </c>
      <c r="D5" s="24" t="s">
        <v>7</v>
      </c>
      <c r="T5" s="28" t="s">
        <v>115</v>
      </c>
      <c r="U5" s="31" t="s">
        <v>116</v>
      </c>
    </row>
    <row r="6" spans="1:21" ht="12.75">
      <c r="A6" s="24" t="s">
        <v>4</v>
      </c>
      <c r="C6" s="30">
        <v>94.49</v>
      </c>
      <c r="D6" s="24" t="s">
        <v>7</v>
      </c>
      <c r="E6" s="24" t="s">
        <v>25</v>
      </c>
      <c r="L6" s="28" t="s">
        <v>35</v>
      </c>
      <c r="M6" s="30">
        <v>1</v>
      </c>
      <c r="N6" s="28" t="s">
        <v>36</v>
      </c>
      <c r="T6" s="28" t="s">
        <v>117</v>
      </c>
      <c r="U6" s="28" t="s">
        <v>118</v>
      </c>
    </row>
    <row r="7" spans="1:21" ht="12.75">
      <c r="A7" s="24" t="s">
        <v>5</v>
      </c>
      <c r="C7" s="30">
        <v>163.85</v>
      </c>
      <c r="D7" s="24" t="s">
        <v>7</v>
      </c>
      <c r="L7" s="28" t="s">
        <v>31</v>
      </c>
      <c r="M7" s="30">
        <v>15500</v>
      </c>
      <c r="N7" s="28" t="s">
        <v>37</v>
      </c>
      <c r="T7" s="32">
        <v>1000</v>
      </c>
      <c r="U7" s="30">
        <v>3.65</v>
      </c>
    </row>
    <row r="8" spans="1:20" ht="12.75">
      <c r="A8" s="24" t="s">
        <v>6</v>
      </c>
      <c r="C8" s="30">
        <v>45.28</v>
      </c>
      <c r="D8" s="24" t="s">
        <v>7</v>
      </c>
      <c r="L8" s="28" t="s">
        <v>38</v>
      </c>
      <c r="M8" s="29">
        <f>D33</f>
        <v>66.36351849168116</v>
      </c>
      <c r="N8" s="28" t="s">
        <v>39</v>
      </c>
      <c r="O8" s="24">
        <f>A33</f>
        <v>90</v>
      </c>
      <c r="P8" s="24" t="s">
        <v>43</v>
      </c>
      <c r="T8" s="25" t="s">
        <v>119</v>
      </c>
    </row>
    <row r="9" spans="1:20" ht="12.75">
      <c r="A9" s="24" t="s">
        <v>63</v>
      </c>
      <c r="C9" s="30">
        <v>1</v>
      </c>
      <c r="D9" s="24" t="s">
        <v>120</v>
      </c>
      <c r="L9" s="28" t="s">
        <v>40</v>
      </c>
      <c r="M9" s="30">
        <v>200</v>
      </c>
      <c r="N9" s="28" t="s">
        <v>37</v>
      </c>
      <c r="T9" s="27">
        <f>T7*(C5+U7)/C3</f>
        <v>692.4433782544274</v>
      </c>
    </row>
    <row r="10" spans="1:14" ht="12.75">
      <c r="A10" s="24" t="s">
        <v>8</v>
      </c>
      <c r="C10" s="24">
        <f>ASIN($C$6/C7)</f>
        <v>0.6146663739555032</v>
      </c>
      <c r="L10" s="28" t="s">
        <v>41</v>
      </c>
      <c r="M10" s="28">
        <f>ABS(D33*(M7-M9))</f>
        <v>1015361.8329227217</v>
      </c>
      <c r="N10" s="28" t="s">
        <v>33</v>
      </c>
    </row>
    <row r="11" spans="1:6" ht="12.75">
      <c r="A11" s="24" t="s">
        <v>9</v>
      </c>
      <c r="C11" s="24">
        <f>ACOS((C5^2+C7^2-(C4+C8)^2)/(2*C5*C7))</f>
        <v>1.460758589542658</v>
      </c>
      <c r="D11" s="28" t="s">
        <v>66</v>
      </c>
      <c r="E11" s="30">
        <v>6</v>
      </c>
      <c r="F11" s="28" t="s">
        <v>67</v>
      </c>
    </row>
    <row r="12" spans="1:28" ht="12.75">
      <c r="A12" s="24" t="s">
        <v>10</v>
      </c>
      <c r="C12" s="24">
        <f>ACOS((C5^2+C7^2-(C4-C8)^2)/(2*C5*C7))</f>
        <v>0.4568999309334003</v>
      </c>
      <c r="M12" s="24" t="s">
        <v>29</v>
      </c>
      <c r="N12" s="24" t="s">
        <v>29</v>
      </c>
      <c r="O12" s="24" t="s">
        <v>29</v>
      </c>
      <c r="P12" s="24" t="s">
        <v>31</v>
      </c>
      <c r="Q12" s="24" t="s">
        <v>34</v>
      </c>
      <c r="R12" s="24" t="s">
        <v>18</v>
      </c>
      <c r="S12" s="24" t="s">
        <v>121</v>
      </c>
      <c r="T12" s="25" t="s">
        <v>92</v>
      </c>
      <c r="U12" s="25" t="s">
        <v>122</v>
      </c>
      <c r="V12" s="25" t="s">
        <v>123</v>
      </c>
      <c r="W12" s="25" t="s">
        <v>105</v>
      </c>
      <c r="X12" s="24" t="s">
        <v>83</v>
      </c>
      <c r="Y12" s="7" t="s">
        <v>77</v>
      </c>
      <c r="Z12" s="10" t="s">
        <v>102</v>
      </c>
      <c r="AA12" s="10" t="s">
        <v>103</v>
      </c>
      <c r="AB12" s="10" t="s">
        <v>105</v>
      </c>
    </row>
    <row r="13" spans="1:28" ht="12.75">
      <c r="A13" s="28" t="s">
        <v>11</v>
      </c>
      <c r="B13" s="28"/>
      <c r="C13" s="28"/>
      <c r="D13" s="28"/>
      <c r="E13" s="28"/>
      <c r="F13" s="28"/>
      <c r="G13" s="28"/>
      <c r="H13" s="28"/>
      <c r="I13" s="28"/>
      <c r="J13" s="28" t="s">
        <v>18</v>
      </c>
      <c r="K13" s="28" t="s">
        <v>19</v>
      </c>
      <c r="L13" s="28" t="s">
        <v>21</v>
      </c>
      <c r="O13" s="24" t="s">
        <v>32</v>
      </c>
      <c r="P13" s="24" t="s">
        <v>32</v>
      </c>
      <c r="Q13" s="24" t="s">
        <v>32</v>
      </c>
      <c r="R13" s="24" t="s">
        <v>124</v>
      </c>
      <c r="S13" s="24" t="s">
        <v>125</v>
      </c>
      <c r="T13" s="25" t="s">
        <v>126</v>
      </c>
      <c r="U13" s="25" t="s">
        <v>32</v>
      </c>
      <c r="V13" s="25" t="s">
        <v>127</v>
      </c>
      <c r="W13" s="25" t="s">
        <v>128</v>
      </c>
      <c r="X13" s="24" t="s">
        <v>76</v>
      </c>
      <c r="Y13" s="7" t="s">
        <v>78</v>
      </c>
      <c r="Z13" s="10" t="s">
        <v>108</v>
      </c>
      <c r="AA13" s="10" t="s">
        <v>108</v>
      </c>
      <c r="AB13" s="10" t="s">
        <v>106</v>
      </c>
    </row>
    <row r="14" spans="1:28" ht="12.75">
      <c r="A14" s="28" t="s">
        <v>12</v>
      </c>
      <c r="B14" s="28" t="s">
        <v>42</v>
      </c>
      <c r="C14" s="28" t="s">
        <v>13</v>
      </c>
      <c r="D14" s="28" t="s">
        <v>129</v>
      </c>
      <c r="E14" s="28" t="s">
        <v>14</v>
      </c>
      <c r="F14" s="28" t="s">
        <v>15</v>
      </c>
      <c r="G14" s="28" t="s">
        <v>16</v>
      </c>
      <c r="H14" s="28" t="s">
        <v>17</v>
      </c>
      <c r="I14" s="28"/>
      <c r="J14" s="28" t="s">
        <v>130</v>
      </c>
      <c r="K14" s="28" t="s">
        <v>20</v>
      </c>
      <c r="L14" s="28" t="s">
        <v>26</v>
      </c>
      <c r="M14" s="24" t="s">
        <v>131</v>
      </c>
      <c r="N14" s="24" t="s">
        <v>44</v>
      </c>
      <c r="O14" s="24" t="s">
        <v>45</v>
      </c>
      <c r="P14" s="24" t="s">
        <v>45</v>
      </c>
      <c r="Q14" s="24" t="s">
        <v>45</v>
      </c>
      <c r="U14" s="25" t="s">
        <v>45</v>
      </c>
      <c r="V14" s="25" t="s">
        <v>45</v>
      </c>
      <c r="W14" s="25" t="s">
        <v>45</v>
      </c>
      <c r="X14" s="24" t="s">
        <v>85</v>
      </c>
      <c r="Y14" s="7" t="s">
        <v>79</v>
      </c>
      <c r="Z14" s="10"/>
      <c r="AA14" s="10"/>
      <c r="AB14"/>
    </row>
    <row r="15" spans="1:28" ht="12.75">
      <c r="A15" s="28">
        <v>0</v>
      </c>
      <c r="B15" s="28">
        <f>A15*2*PI()/360</f>
        <v>0</v>
      </c>
      <c r="C15" s="29">
        <f>($C$11-G15)/($C$11-$C$12)</f>
        <v>0.0014952785930046355</v>
      </c>
      <c r="D15" s="29">
        <f>$C$8*$C$3/$C$5*SIN(H15)/SIN(E15)</f>
        <v>-6.4570405352193925</v>
      </c>
      <c r="E15" s="28">
        <f>ACOS(($C$5^2+$C$4^2-$C$7^2-$C$8^2+2*$C$7*$C$8*COS(B15-$C$10))/(2*$C$5*$C$4))</f>
        <v>1.154739813299773</v>
      </c>
      <c r="F15" s="28">
        <f>SQRT($C$8^2+$C$7^2-2*$C$8*$C$7*COS(B15-$C$10))</f>
        <v>129.51738062291886</v>
      </c>
      <c r="G15" s="28">
        <f>ACOS(($C$5^2+F15^2-$C$4^2)/(2*$C$5*F15))-ASIN($C$8*SIN(B15-$C$10)/F15)</f>
        <v>1.4592575411800373</v>
      </c>
      <c r="H15" s="28">
        <f>E15+G15-(B15-$C$10)</f>
        <v>3.2286637284353135</v>
      </c>
      <c r="I15" s="28"/>
      <c r="J15" s="28">
        <f>$C$3*($C$11-G15)</f>
        <v>0.21274358443424193</v>
      </c>
      <c r="K15" s="28">
        <f>(J15-J86)/10*$E$11</f>
        <v>-0.5549480736447449</v>
      </c>
      <c r="L15" s="28">
        <f>(K15-K86)/(B16-B15)*$E$11*2*3.1415/60</f>
        <v>2.9920410509215785</v>
      </c>
      <c r="M15" s="24">
        <v>60</v>
      </c>
      <c r="N15" s="11">
        <v>13000</v>
      </c>
      <c r="O15" s="24">
        <f>D15*(N15-$M$9)</f>
        <v>-82650.11885080823</v>
      </c>
      <c r="P15" s="24">
        <f>$M$10*SIN(RADIANS(A15))</f>
        <v>0</v>
      </c>
      <c r="Q15" s="24">
        <f>O15-P15</f>
        <v>-82650.11885080823</v>
      </c>
      <c r="R15" s="26">
        <f>C15*0.5</f>
        <v>0.0007476392965023177</v>
      </c>
      <c r="S15" s="24">
        <f>$C$9*A15</f>
        <v>0</v>
      </c>
      <c r="T15" s="27">
        <f>$T$9+$T$9/32.2*L15</f>
        <v>756.7855836325662</v>
      </c>
      <c r="U15" s="24">
        <f>D15*T15</f>
        <v>-4886.595189985145</v>
      </c>
      <c r="V15" s="27">
        <f>U15+P15</f>
        <v>-4886.595189985145</v>
      </c>
      <c r="W15" s="27">
        <f>O15-V15</f>
        <v>-77763.52366082308</v>
      </c>
      <c r="X15" s="24">
        <f>IF(($F$3+V15)/D15+$M$9&lt;$F$4,($F$3+V15)/D15+$M$9,$F$4)</f>
        <v>-48601.5218568406</v>
      </c>
      <c r="Z15" s="24">
        <f>IF(W15&lt;0,(W87+W15)/2,0)</f>
        <v>-77763.52366082286</v>
      </c>
      <c r="AA15" s="24">
        <f>IF(W15&gt;=0,(W15+W87)/2,0)</f>
        <v>0</v>
      </c>
      <c r="AB15" s="33">
        <f>W15^2</f>
        <v>6047165612.14739</v>
      </c>
    </row>
    <row r="16" spans="1:28" ht="12.75">
      <c r="A16" s="28">
        <f>(ABS(A15)+5)*$C$9</f>
        <v>5</v>
      </c>
      <c r="B16" s="28">
        <f aca="true" t="shared" si="0" ref="B16:B79">A16*2*PI()/360</f>
        <v>0.08726646259971647</v>
      </c>
      <c r="C16" s="29">
        <f aca="true" t="shared" si="1" ref="C16:C79">($C$11-G16)/($C$11-$C$12)</f>
        <v>0.00016743974998509908</v>
      </c>
      <c r="D16" s="29">
        <f aca="true" t="shared" si="2" ref="D16:D79">$C$8*$C$3/$C$5*SIN(H16)/SIN(E16)</f>
        <v>2.1929639054623995</v>
      </c>
      <c r="E16" s="28">
        <f aca="true" t="shared" si="3" ref="E16:E79">ACOS(($C$5^2+$C$4^2-$C$7^2-$C$8^2+2*$C$7*$C$8*COS(B16-$C$10))/(2*$C$5*$C$4))</f>
        <v>1.124472515259824</v>
      </c>
      <c r="F16" s="28">
        <f aca="true" t="shared" si="4" ref="F16:F79">SQRT($C$8^2+$C$7^2-2*$C$8*$C$7*COS(B16-$C$10))</f>
        <v>126.78757090319596</v>
      </c>
      <c r="G16" s="28">
        <f aca="true" t="shared" si="5" ref="G16:G79">ACOS(($C$5^2+F16^2-$C$4^2)/(2*$C$5*F16))-ASIN($C$8*SIN(B16-$C$10)/F16)</f>
        <v>1.4605905036998401</v>
      </c>
      <c r="H16" s="28">
        <f aca="true" t="shared" si="6" ref="H16:H79">E16+G16-(B16-$C$10)</f>
        <v>3.1124629303154507</v>
      </c>
      <c r="I16" s="28"/>
      <c r="J16" s="28">
        <f aca="true" t="shared" si="7" ref="J16:J79">$C$3*($C$11-G16)</f>
        <v>0.023822806502582533</v>
      </c>
      <c r="K16" s="28">
        <f>(J16-J15)/10*$E$11</f>
        <v>-0.11335246675899563</v>
      </c>
      <c r="L16" s="28">
        <f>(K16-K15)/(B16-B15)*$E$11*2*3.1415/60</f>
        <v>3.179394598346166</v>
      </c>
      <c r="M16" s="24">
        <v>130</v>
      </c>
      <c r="N16" s="11">
        <v>12200</v>
      </c>
      <c r="O16" s="24">
        <f aca="true" t="shared" si="8" ref="O16:O79">D16*(N16-$M$9)</f>
        <v>26315.566865548793</v>
      </c>
      <c r="P16" s="24">
        <f aca="true" t="shared" si="9" ref="P16:P79">$M$10*SIN(RADIANS(A16))</f>
        <v>88494.61470600341</v>
      </c>
      <c r="Q16" s="24">
        <f aca="true" t="shared" si="10" ref="Q16:Q79">O16-P16</f>
        <v>-62179.047840454616</v>
      </c>
      <c r="R16" s="26">
        <f aca="true" t="shared" si="11" ref="R16:R52">C16*0.5</f>
        <v>8.371987499254954E-05</v>
      </c>
      <c r="S16" s="24">
        <f aca="true" t="shared" si="12" ref="S16:S79">$C$9*A16</f>
        <v>5</v>
      </c>
      <c r="T16" s="27">
        <f aca="true" t="shared" si="13" ref="T16:T79">$T$9+$T$9/32.2*L16</f>
        <v>760.8145191389833</v>
      </c>
      <c r="U16" s="24">
        <f aca="true" t="shared" si="14" ref="U16:U79">D16*T16</f>
        <v>1668.4387792235223</v>
      </c>
      <c r="V16" s="27">
        <f aca="true" t="shared" si="15" ref="V16:V79">U16+P16</f>
        <v>90163.05348522693</v>
      </c>
      <c r="W16" s="27">
        <f aca="true" t="shared" si="16" ref="W16:W79">O16-V16</f>
        <v>-63847.48661967814</v>
      </c>
      <c r="X16" s="24">
        <f aca="true" t="shared" si="17" ref="X16:X79">IF(($F$3+V16)/D16+$M$9&lt;$F$4,($F$3+V16)/D16+$M$9,$F$4)</f>
        <v>25600</v>
      </c>
      <c r="Y16" s="24">
        <f>(N16+N15)/2*(J16-J15)/12</f>
        <v>-198.36681682824238</v>
      </c>
      <c r="Z16" s="24">
        <f>IF(W16&lt;0,(15+W16)/2,0)</f>
        <v>-31916.24330983907</v>
      </c>
      <c r="AA16" s="24">
        <f>IF(W16&gt;=0,(W15+W16)/2,0)</f>
        <v>0</v>
      </c>
      <c r="AB16" s="33">
        <f aca="true" t="shared" si="18" ref="AB16:AB79">W16^2</f>
        <v>4076501547.6499786</v>
      </c>
    </row>
    <row r="17" spans="1:28" ht="12.75">
      <c r="A17" s="28">
        <f aca="true" t="shared" si="19" ref="A17:A80">(ABS(A16)+5)*$C$9</f>
        <v>10</v>
      </c>
      <c r="B17" s="28">
        <f t="shared" si="0"/>
        <v>0.17453292519943295</v>
      </c>
      <c r="C17" s="29">
        <f t="shared" si="1"/>
        <v>0.0042516540090476364</v>
      </c>
      <c r="D17" s="29">
        <f t="shared" si="2"/>
        <v>11.165523219302806</v>
      </c>
      <c r="E17" s="28">
        <f t="shared" si="3"/>
        <v>1.0980721982245685</v>
      </c>
      <c r="F17" s="28">
        <f t="shared" si="4"/>
        <v>124.3905448453556</v>
      </c>
      <c r="G17" s="28">
        <f t="shared" si="5"/>
        <v>1.4564905298522648</v>
      </c>
      <c r="H17" s="28">
        <f t="shared" si="6"/>
        <v>2.9946961768329032</v>
      </c>
      <c r="I17" s="28"/>
      <c r="J17" s="28">
        <f t="shared" si="7"/>
        <v>0.604912099919433</v>
      </c>
      <c r="K17" s="28">
        <f aca="true" t="shared" si="20" ref="K17:K80">(J17-J16)/10*$E$11</f>
        <v>0.34865357605011027</v>
      </c>
      <c r="L17" s="28">
        <f aca="true" t="shared" si="21" ref="L17:L80">(K17-K16)/(B17-B16)*$E$11*2*3.1415/60</f>
        <v>3.326345402912027</v>
      </c>
      <c r="M17" s="24">
        <v>200</v>
      </c>
      <c r="N17" s="11">
        <v>12200</v>
      </c>
      <c r="O17" s="24">
        <f t="shared" si="8"/>
        <v>133986.27863163367</v>
      </c>
      <c r="P17" s="24">
        <f t="shared" si="9"/>
        <v>176315.7319595848</v>
      </c>
      <c r="Q17" s="24">
        <f t="shared" si="10"/>
        <v>-42329.45332795114</v>
      </c>
      <c r="R17" s="26">
        <f t="shared" si="11"/>
        <v>0.0021258270045238182</v>
      </c>
      <c r="S17" s="24">
        <f t="shared" si="12"/>
        <v>10</v>
      </c>
      <c r="T17" s="27">
        <f t="shared" si="13"/>
        <v>763.9746157709953</v>
      </c>
      <c r="U17" s="24">
        <f t="shared" si="14"/>
        <v>8530.176311348989</v>
      </c>
      <c r="V17" s="27">
        <f t="shared" si="15"/>
        <v>184845.9082709338</v>
      </c>
      <c r="W17" s="27">
        <f t="shared" si="16"/>
        <v>-50859.62963930014</v>
      </c>
      <c r="X17" s="24">
        <f t="shared" si="17"/>
        <v>25600</v>
      </c>
      <c r="Y17" s="24">
        <f aca="true" t="shared" si="22" ref="Y17:Y80">(N17+N16)/2*(J17-J16)/12</f>
        <v>590.774114973798</v>
      </c>
      <c r="Z17" s="24">
        <f aca="true" t="shared" si="23" ref="Z17:Z80">IF(W17&lt;0,(15+W17)/2,0)</f>
        <v>-25422.31481965007</v>
      </c>
      <c r="AA17" s="24">
        <f aca="true" t="shared" si="24" ref="AA17:AA80">IF(W17&gt;=0,(W16+W17)/2,0)</f>
        <v>0</v>
      </c>
      <c r="AB17" s="33">
        <f t="shared" si="18"/>
        <v>2586701927.0467772</v>
      </c>
    </row>
    <row r="18" spans="1:28" ht="12.75">
      <c r="A18" s="28">
        <f t="shared" si="19"/>
        <v>15</v>
      </c>
      <c r="B18" s="28">
        <f t="shared" si="0"/>
        <v>0.2617993877991494</v>
      </c>
      <c r="C18" s="29">
        <f t="shared" si="1"/>
        <v>0.013895879061877305</v>
      </c>
      <c r="D18" s="29">
        <f t="shared" si="2"/>
        <v>20.29105228885996</v>
      </c>
      <c r="E18" s="28">
        <f t="shared" si="3"/>
        <v>1.075878497467254</v>
      </c>
      <c r="F18" s="28">
        <f t="shared" si="4"/>
        <v>122.36458888772086</v>
      </c>
      <c r="G18" s="28">
        <f t="shared" si="5"/>
        <v>1.4468090910274054</v>
      </c>
      <c r="H18" s="28">
        <f>E18+G18-(B18-$C$10)</f>
        <v>2.875554574651013</v>
      </c>
      <c r="I18" s="28"/>
      <c r="J18" s="28">
        <f t="shared" si="7"/>
        <v>1.977062424566754</v>
      </c>
      <c r="K18" s="28">
        <f t="shared" si="20"/>
        <v>0.8232901947883926</v>
      </c>
      <c r="L18" s="28">
        <f t="shared" si="21"/>
        <v>3.417282867544946</v>
      </c>
      <c r="M18" s="24">
        <v>195</v>
      </c>
      <c r="N18" s="11">
        <v>12800</v>
      </c>
      <c r="O18" s="24">
        <f t="shared" si="8"/>
        <v>255667.25883963547</v>
      </c>
      <c r="P18" s="24">
        <f t="shared" si="9"/>
        <v>262794.98003060406</v>
      </c>
      <c r="Q18" s="24">
        <f t="shared" si="10"/>
        <v>-7127.721190968587</v>
      </c>
      <c r="R18" s="26">
        <f t="shared" si="11"/>
        <v>0.006947939530938653</v>
      </c>
      <c r="S18" s="24">
        <f t="shared" si="12"/>
        <v>15</v>
      </c>
      <c r="T18" s="27">
        <f t="shared" si="13"/>
        <v>765.9301761815641</v>
      </c>
      <c r="U18" s="24">
        <f t="shared" si="14"/>
        <v>15541.529254515837</v>
      </c>
      <c r="V18" s="27">
        <f t="shared" si="15"/>
        <v>278336.5092851199</v>
      </c>
      <c r="W18" s="27">
        <f t="shared" si="16"/>
        <v>-22669.250445484417</v>
      </c>
      <c r="X18" s="24">
        <f t="shared" si="17"/>
        <v>25600</v>
      </c>
      <c r="Y18" s="24">
        <f t="shared" si="22"/>
        <v>1429.3232548409594</v>
      </c>
      <c r="Z18" s="24">
        <f t="shared" si="23"/>
        <v>-11327.125222742208</v>
      </c>
      <c r="AA18" s="24">
        <f t="shared" si="24"/>
        <v>0</v>
      </c>
      <c r="AB18" s="33">
        <f t="shared" si="18"/>
        <v>513894915.7600954</v>
      </c>
    </row>
    <row r="19" spans="1:28" ht="12.75">
      <c r="A19" s="28">
        <f t="shared" si="19"/>
        <v>20</v>
      </c>
      <c r="B19" s="28">
        <f t="shared" si="0"/>
        <v>0.3490658503988659</v>
      </c>
      <c r="C19" s="29">
        <f t="shared" si="1"/>
        <v>0.029131812291787375</v>
      </c>
      <c r="D19" s="29">
        <f t="shared" si="2"/>
        <v>29.36108570532673</v>
      </c>
      <c r="E19" s="28">
        <f t="shared" si="3"/>
        <v>1.0582007771995587</v>
      </c>
      <c r="F19" s="28">
        <f t="shared" si="4"/>
        <v>120.74414143552707</v>
      </c>
      <c r="G19" s="28">
        <f t="shared" si="5"/>
        <v>1.4315143675325677</v>
      </c>
      <c r="H19" s="28">
        <f t="shared" si="6"/>
        <v>2.7553156682887634</v>
      </c>
      <c r="I19" s="28"/>
      <c r="J19" s="28">
        <f t="shared" si="7"/>
        <v>4.1447835854901065</v>
      </c>
      <c r="K19" s="28">
        <f t="shared" si="20"/>
        <v>1.3006326965540111</v>
      </c>
      <c r="L19" s="28">
        <f t="shared" si="21"/>
        <v>3.436764650757283</v>
      </c>
      <c r="M19" s="24">
        <v>190</v>
      </c>
      <c r="N19" s="11">
        <v>13400</v>
      </c>
      <c r="O19" s="24">
        <f t="shared" si="8"/>
        <v>387566.33131031285</v>
      </c>
      <c r="P19" s="24">
        <f t="shared" si="9"/>
        <v>347274.19962364295</v>
      </c>
      <c r="Q19" s="24">
        <f t="shared" si="10"/>
        <v>40292.13168666989</v>
      </c>
      <c r="R19" s="26">
        <f t="shared" si="11"/>
        <v>0.014565906145893688</v>
      </c>
      <c r="S19" s="24">
        <f t="shared" si="12"/>
        <v>20</v>
      </c>
      <c r="T19" s="27">
        <f t="shared" si="13"/>
        <v>766.3491212679606</v>
      </c>
      <c r="U19" s="24">
        <f t="shared" si="14"/>
        <v>22500.84222975042</v>
      </c>
      <c r="V19" s="27">
        <f t="shared" si="15"/>
        <v>369775.04185339337</v>
      </c>
      <c r="W19" s="27">
        <f t="shared" si="16"/>
        <v>17791.289456919476</v>
      </c>
      <c r="X19" s="24">
        <f t="shared" si="17"/>
        <v>23692.831592676885</v>
      </c>
      <c r="Y19" s="24">
        <f t="shared" si="22"/>
        <v>2366.4289340079927</v>
      </c>
      <c r="Z19" s="24">
        <f t="shared" si="23"/>
        <v>0</v>
      </c>
      <c r="AA19" s="24">
        <f t="shared" si="24"/>
        <v>-2438.9804942824703</v>
      </c>
      <c r="AB19" s="33">
        <f t="shared" si="18"/>
        <v>316529980.5398941</v>
      </c>
    </row>
    <row r="20" spans="1:28" ht="12.75">
      <c r="A20" s="28">
        <f t="shared" si="19"/>
        <v>25</v>
      </c>
      <c r="B20" s="28">
        <f t="shared" si="0"/>
        <v>0.4363323129985824</v>
      </c>
      <c r="C20" s="29">
        <f t="shared" si="1"/>
        <v>0.04985367315108872</v>
      </c>
      <c r="D20" s="29">
        <f t="shared" si="2"/>
        <v>38.13801753004243</v>
      </c>
      <c r="E20" s="28">
        <f t="shared" si="3"/>
        <v>1.045302742816241</v>
      </c>
      <c r="F20" s="28">
        <f t="shared" si="4"/>
        <v>119.55823283104004</v>
      </c>
      <c r="G20" s="28">
        <f t="shared" si="5"/>
        <v>1.4107125480864617</v>
      </c>
      <c r="H20" s="28">
        <f t="shared" si="6"/>
        <v>2.6343493518596235</v>
      </c>
      <c r="I20" s="28"/>
      <c r="J20" s="28">
        <f t="shared" si="7"/>
        <v>7.0930254555867</v>
      </c>
      <c r="K20" s="28">
        <f t="shared" si="20"/>
        <v>1.7689451220579562</v>
      </c>
      <c r="L20" s="28">
        <f t="shared" si="21"/>
        <v>3.371750019177294</v>
      </c>
      <c r="M20" s="24">
        <v>187</v>
      </c>
      <c r="N20" s="11">
        <v>14000</v>
      </c>
      <c r="O20" s="24">
        <f t="shared" si="8"/>
        <v>526304.6419145856</v>
      </c>
      <c r="P20" s="24">
        <f t="shared" si="9"/>
        <v>429110.4528676512</v>
      </c>
      <c r="Q20" s="24">
        <f t="shared" si="10"/>
        <v>97194.18904693442</v>
      </c>
      <c r="R20" s="26">
        <f t="shared" si="11"/>
        <v>0.02492683657554436</v>
      </c>
      <c r="S20" s="24">
        <f t="shared" si="12"/>
        <v>25</v>
      </c>
      <c r="T20" s="27">
        <f t="shared" si="13"/>
        <v>764.951017195687</v>
      </c>
      <c r="U20" s="24">
        <f t="shared" si="14"/>
        <v>29173.7153034329</v>
      </c>
      <c r="V20" s="27">
        <f t="shared" si="15"/>
        <v>458284.1681710841</v>
      </c>
      <c r="W20" s="27">
        <f t="shared" si="16"/>
        <v>68020.47374350153</v>
      </c>
      <c r="X20" s="24">
        <f t="shared" si="17"/>
        <v>20607.043118012276</v>
      </c>
      <c r="Y20" s="24">
        <f t="shared" si="22"/>
        <v>3365.9094683602775</v>
      </c>
      <c r="Z20" s="24">
        <f t="shared" si="23"/>
        <v>0</v>
      </c>
      <c r="AA20" s="24">
        <f t="shared" si="24"/>
        <v>42905.8816002105</v>
      </c>
      <c r="AB20" s="33">
        <f t="shared" si="18"/>
        <v>4626784848.2903805</v>
      </c>
    </row>
    <row r="21" spans="1:28" ht="12.75">
      <c r="A21" s="28">
        <f t="shared" si="19"/>
        <v>30</v>
      </c>
      <c r="B21" s="28">
        <f t="shared" si="0"/>
        <v>0.5235987755982988</v>
      </c>
      <c r="C21" s="29">
        <f t="shared" si="1"/>
        <v>0.07580508290034306</v>
      </c>
      <c r="D21" s="29">
        <f t="shared" si="2"/>
        <v>46.37167163854714</v>
      </c>
      <c r="E21" s="28">
        <f t="shared" si="3"/>
        <v>1.0373873173556278</v>
      </c>
      <c r="F21" s="28">
        <f t="shared" si="4"/>
        <v>118.82900108181579</v>
      </c>
      <c r="G21" s="28">
        <f t="shared" si="5"/>
        <v>1.384661000706556</v>
      </c>
      <c r="H21" s="28">
        <f t="shared" si="6"/>
        <v>2.5131159164193884</v>
      </c>
      <c r="I21" s="28"/>
      <c r="J21" s="28">
        <f t="shared" si="7"/>
        <v>10.785311265740729</v>
      </c>
      <c r="K21" s="28">
        <f t="shared" si="20"/>
        <v>2.215371486092417</v>
      </c>
      <c r="L21" s="28">
        <f t="shared" si="21"/>
        <v>3.2141750240230698</v>
      </c>
      <c r="M21" s="24">
        <v>185</v>
      </c>
      <c r="N21" s="11">
        <v>14250</v>
      </c>
      <c r="O21" s="24">
        <f t="shared" si="8"/>
        <v>651521.9865215874</v>
      </c>
      <c r="P21" s="24">
        <f t="shared" si="9"/>
        <v>507680.9164613608</v>
      </c>
      <c r="Q21" s="24">
        <f t="shared" si="10"/>
        <v>143841.07006022654</v>
      </c>
      <c r="R21" s="26">
        <f t="shared" si="11"/>
        <v>0.03790254145017153</v>
      </c>
      <c r="S21" s="24">
        <f t="shared" si="12"/>
        <v>30</v>
      </c>
      <c r="T21" s="27">
        <f t="shared" si="13"/>
        <v>761.5624531592579</v>
      </c>
      <c r="U21" s="24">
        <f t="shared" si="14"/>
        <v>35314.924010147544</v>
      </c>
      <c r="V21" s="27">
        <f t="shared" si="15"/>
        <v>542995.8404715083</v>
      </c>
      <c r="W21" s="27">
        <f t="shared" si="16"/>
        <v>108526.14605007903</v>
      </c>
      <c r="X21" s="24">
        <f t="shared" si="17"/>
        <v>18810.410407420597</v>
      </c>
      <c r="Y21" s="24">
        <f t="shared" si="22"/>
        <v>4346.128089035472</v>
      </c>
      <c r="Z21" s="24">
        <f t="shared" si="23"/>
        <v>0</v>
      </c>
      <c r="AA21" s="24">
        <f t="shared" si="24"/>
        <v>88273.30989679028</v>
      </c>
      <c r="AB21" s="33">
        <f t="shared" si="18"/>
        <v>11777924376.483084</v>
      </c>
    </row>
    <row r="22" spans="1:28" ht="12.75">
      <c r="A22" s="28">
        <f t="shared" si="19"/>
        <v>35</v>
      </c>
      <c r="B22" s="28">
        <f t="shared" si="0"/>
        <v>0.6108652381980153</v>
      </c>
      <c r="C22" s="29">
        <f t="shared" si="1"/>
        <v>0.10657786077411402</v>
      </c>
      <c r="D22" s="29">
        <f t="shared" si="2"/>
        <v>53.821166109595325</v>
      </c>
      <c r="E22" s="28">
        <f t="shared" si="3"/>
        <v>1.0345837059157852</v>
      </c>
      <c r="F22" s="28">
        <f t="shared" si="4"/>
        <v>118.57045203645353</v>
      </c>
      <c r="G22" s="28">
        <f t="shared" si="5"/>
        <v>1.3537694811885117</v>
      </c>
      <c r="H22" s="28">
        <f t="shared" si="6"/>
        <v>2.392154322861785</v>
      </c>
      <c r="I22" s="28"/>
      <c r="J22" s="28">
        <f t="shared" si="7"/>
        <v>15.163566327033157</v>
      </c>
      <c r="K22" s="28">
        <f t="shared" si="20"/>
        <v>2.6269530367754568</v>
      </c>
      <c r="L22" s="28">
        <f t="shared" si="21"/>
        <v>2.963299767063022</v>
      </c>
      <c r="M22" s="24">
        <v>177</v>
      </c>
      <c r="N22" s="11">
        <v>14500</v>
      </c>
      <c r="O22" s="24">
        <f t="shared" si="8"/>
        <v>769642.6753672131</v>
      </c>
      <c r="P22" s="24">
        <f t="shared" si="9"/>
        <v>582387.621734681</v>
      </c>
      <c r="Q22" s="24">
        <f t="shared" si="10"/>
        <v>187255.05363253213</v>
      </c>
      <c r="R22" s="26">
        <f t="shared" si="11"/>
        <v>0.05328893038705701</v>
      </c>
      <c r="S22" s="24">
        <f t="shared" si="12"/>
        <v>35</v>
      </c>
      <c r="T22" s="27">
        <f t="shared" si="13"/>
        <v>756.1675180521192</v>
      </c>
      <c r="U22" s="24">
        <f t="shared" si="14"/>
        <v>40697.81759576353</v>
      </c>
      <c r="V22" s="27">
        <f t="shared" si="15"/>
        <v>623085.4393304444</v>
      </c>
      <c r="W22" s="27">
        <f t="shared" si="16"/>
        <v>146557.23603676865</v>
      </c>
      <c r="X22" s="24">
        <f t="shared" si="17"/>
        <v>17722.575363938642</v>
      </c>
      <c r="Y22" s="24">
        <f t="shared" si="22"/>
        <v>5244.784708839888</v>
      </c>
      <c r="Z22" s="24">
        <f t="shared" si="23"/>
        <v>0</v>
      </c>
      <c r="AA22" s="24">
        <f t="shared" si="24"/>
        <v>127541.69104342384</v>
      </c>
      <c r="AB22" s="33">
        <f t="shared" si="18"/>
        <v>21479023434.737118</v>
      </c>
    </row>
    <row r="23" spans="1:28" ht="12.75">
      <c r="A23" s="28">
        <f t="shared" si="19"/>
        <v>40</v>
      </c>
      <c r="B23" s="28">
        <f t="shared" si="0"/>
        <v>0.6981317007977318</v>
      </c>
      <c r="C23" s="29">
        <f t="shared" si="1"/>
        <v>0.14162502094650548</v>
      </c>
      <c r="D23" s="29">
        <f t="shared" si="2"/>
        <v>60.278651864666344</v>
      </c>
      <c r="E23" s="28">
        <f t="shared" si="3"/>
        <v>1.0369385577944334</v>
      </c>
      <c r="F23" s="28">
        <f t="shared" si="4"/>
        <v>118.78762547535138</v>
      </c>
      <c r="G23" s="28">
        <f t="shared" si="5"/>
        <v>1.318587085989791</v>
      </c>
      <c r="H23" s="28">
        <f t="shared" si="6"/>
        <v>2.2720603169419955</v>
      </c>
      <c r="I23" s="28"/>
      <c r="J23" s="28">
        <f t="shared" si="7"/>
        <v>20.149967198547838</v>
      </c>
      <c r="K23" s="28">
        <f t="shared" si="20"/>
        <v>2.9918405229088085</v>
      </c>
      <c r="L23" s="28">
        <f t="shared" si="21"/>
        <v>2.627112417621128</v>
      </c>
      <c r="M23" s="24">
        <v>170</v>
      </c>
      <c r="N23" s="11">
        <v>14500</v>
      </c>
      <c r="O23" s="24">
        <f t="shared" si="8"/>
        <v>861984.7216647287</v>
      </c>
      <c r="P23" s="24">
        <f t="shared" si="9"/>
        <v>652662.0055513396</v>
      </c>
      <c r="Q23" s="24">
        <f t="shared" si="10"/>
        <v>209322.71611338912</v>
      </c>
      <c r="R23" s="26">
        <f t="shared" si="11"/>
        <v>0.07081251047325274</v>
      </c>
      <c r="S23" s="24">
        <f t="shared" si="12"/>
        <v>40</v>
      </c>
      <c r="T23" s="27">
        <f t="shared" si="13"/>
        <v>748.9379930839842</v>
      </c>
      <c r="U23" s="24">
        <f t="shared" si="14"/>
        <v>45144.972553331376</v>
      </c>
      <c r="V23" s="27">
        <f t="shared" si="15"/>
        <v>697806.978104671</v>
      </c>
      <c r="W23" s="27">
        <f t="shared" si="16"/>
        <v>164177.74356005772</v>
      </c>
      <c r="X23" s="24">
        <f t="shared" si="17"/>
        <v>17085.03220658923</v>
      </c>
      <c r="Y23" s="24">
        <f t="shared" si="22"/>
        <v>6025.234386413573</v>
      </c>
      <c r="Z23" s="24">
        <f t="shared" si="23"/>
        <v>0</v>
      </c>
      <c r="AA23" s="24">
        <f t="shared" si="24"/>
        <v>155367.48979841318</v>
      </c>
      <c r="AB23" s="33">
        <f t="shared" si="18"/>
        <v>26954331480.472073</v>
      </c>
    </row>
    <row r="24" spans="1:28" ht="12.75">
      <c r="A24" s="28">
        <f t="shared" si="19"/>
        <v>45</v>
      </c>
      <c r="B24" s="28">
        <f t="shared" si="0"/>
        <v>0.7853981633974483</v>
      </c>
      <c r="C24" s="29">
        <f t="shared" si="1"/>
        <v>0.18028773996357686</v>
      </c>
      <c r="D24" s="29">
        <f t="shared" si="2"/>
        <v>65.59033131210637</v>
      </c>
      <c r="E24" s="28">
        <f t="shared" si="3"/>
        <v>1.0444126590483207</v>
      </c>
      <c r="F24" s="28">
        <f t="shared" si="4"/>
        <v>119.47628550267501</v>
      </c>
      <c r="G24" s="28">
        <f t="shared" si="5"/>
        <v>1.279775180739127</v>
      </c>
      <c r="H24" s="28">
        <f t="shared" si="6"/>
        <v>2.1534560503455027</v>
      </c>
      <c r="I24" s="28"/>
      <c r="J24" s="28">
        <f t="shared" si="7"/>
        <v>25.650778529724434</v>
      </c>
      <c r="K24" s="28">
        <f t="shared" si="20"/>
        <v>3.3004867987059576</v>
      </c>
      <c r="L24" s="28">
        <f t="shared" si="21"/>
        <v>2.2221876458182317</v>
      </c>
      <c r="M24" s="24">
        <v>185</v>
      </c>
      <c r="N24" s="11">
        <v>15375</v>
      </c>
      <c r="O24" s="24">
        <f t="shared" si="8"/>
        <v>995333.2776612142</v>
      </c>
      <c r="P24" s="24">
        <f t="shared" si="9"/>
        <v>717969.2374176588</v>
      </c>
      <c r="Q24" s="24">
        <f t="shared" si="10"/>
        <v>277364.04024355544</v>
      </c>
      <c r="R24" s="26">
        <f t="shared" si="11"/>
        <v>0.09014386998178843</v>
      </c>
      <c r="S24" s="24">
        <f t="shared" si="12"/>
        <v>45</v>
      </c>
      <c r="T24" s="27">
        <f t="shared" si="13"/>
        <v>740.2303074651612</v>
      </c>
      <c r="U24" s="24">
        <f t="shared" si="14"/>
        <v>48551.951113902294</v>
      </c>
      <c r="V24" s="27">
        <f t="shared" si="15"/>
        <v>766521.188531561</v>
      </c>
      <c r="W24" s="27">
        <f t="shared" si="16"/>
        <v>228812.08912965318</v>
      </c>
      <c r="X24" s="24">
        <f t="shared" si="17"/>
        <v>16765.264525977716</v>
      </c>
      <c r="Y24" s="24">
        <f t="shared" si="22"/>
        <v>6847.364104954201</v>
      </c>
      <c r="Z24" s="24">
        <f t="shared" si="23"/>
        <v>0</v>
      </c>
      <c r="AA24" s="24">
        <f t="shared" si="24"/>
        <v>196494.91634485545</v>
      </c>
      <c r="AB24" s="33">
        <f t="shared" si="18"/>
        <v>52354972131.87635</v>
      </c>
    </row>
    <row r="25" spans="1:28" ht="12.75">
      <c r="A25" s="28">
        <f t="shared" si="19"/>
        <v>50</v>
      </c>
      <c r="B25" s="28">
        <f t="shared" si="0"/>
        <v>0.8726646259971648</v>
      </c>
      <c r="C25" s="29">
        <f t="shared" si="1"/>
        <v>0.22183323004995228</v>
      </c>
      <c r="D25" s="29">
        <f t="shared" si="2"/>
        <v>69.6703708803763</v>
      </c>
      <c r="E25" s="28">
        <f t="shared" si="3"/>
        <v>1.0568837169281373</v>
      </c>
      <c r="F25" s="28">
        <f t="shared" si="4"/>
        <v>120.6231811097635</v>
      </c>
      <c r="G25" s="28">
        <f t="shared" si="5"/>
        <v>1.238069380789754</v>
      </c>
      <c r="H25" s="28">
        <f t="shared" si="6"/>
        <v>2.0369548456762296</v>
      </c>
      <c r="I25" s="28"/>
      <c r="J25" s="28">
        <f t="shared" si="7"/>
        <v>31.56174155654908</v>
      </c>
      <c r="K25" s="28">
        <f t="shared" si="20"/>
        <v>3.5465778160947874</v>
      </c>
      <c r="L25" s="28">
        <f t="shared" si="21"/>
        <v>1.7718030686613864</v>
      </c>
      <c r="M25" s="24">
        <v>200</v>
      </c>
      <c r="N25" s="11">
        <v>16250</v>
      </c>
      <c r="O25" s="24">
        <f t="shared" si="8"/>
        <v>1118209.4526300395</v>
      </c>
      <c r="P25" s="24">
        <f t="shared" si="9"/>
        <v>777812.2898655512</v>
      </c>
      <c r="Q25" s="24">
        <f t="shared" si="10"/>
        <v>340397.16276448837</v>
      </c>
      <c r="R25" s="26">
        <f t="shared" si="11"/>
        <v>0.11091661502497614</v>
      </c>
      <c r="S25" s="24">
        <f t="shared" si="12"/>
        <v>50</v>
      </c>
      <c r="T25" s="27">
        <f t="shared" si="13"/>
        <v>730.5450336104974</v>
      </c>
      <c r="U25" s="24">
        <f t="shared" si="14"/>
        <v>50897.34343646032</v>
      </c>
      <c r="V25" s="27">
        <f t="shared" si="15"/>
        <v>828709.6333020115</v>
      </c>
      <c r="W25" s="27">
        <f t="shared" si="16"/>
        <v>289499.819328028</v>
      </c>
      <c r="X25" s="24">
        <f t="shared" si="17"/>
        <v>16687.77835953164</v>
      </c>
      <c r="Y25" s="24">
        <f t="shared" si="22"/>
        <v>7788.92523847206</v>
      </c>
      <c r="Z25" s="24">
        <f t="shared" si="23"/>
        <v>0</v>
      </c>
      <c r="AA25" s="24">
        <f t="shared" si="24"/>
        <v>259155.9542288406</v>
      </c>
      <c r="AB25" s="33">
        <f t="shared" si="18"/>
        <v>83810145390.96086</v>
      </c>
    </row>
    <row r="26" spans="1:28" ht="12.75">
      <c r="A26" s="28">
        <f t="shared" si="19"/>
        <v>55</v>
      </c>
      <c r="B26" s="28">
        <f t="shared" si="0"/>
        <v>0.9599310885968813</v>
      </c>
      <c r="C26" s="29">
        <f t="shared" si="1"/>
        <v>0.2654982158425692</v>
      </c>
      <c r="D26" s="29">
        <f t="shared" si="2"/>
        <v>72.50501166460529</v>
      </c>
      <c r="E26" s="28">
        <f t="shared" si="3"/>
        <v>1.074154762616271</v>
      </c>
      <c r="F26" s="28">
        <f t="shared" si="4"/>
        <v>122.20683823787138</v>
      </c>
      <c r="G26" s="28">
        <f t="shared" si="5"/>
        <v>1.1942359067237853</v>
      </c>
      <c r="H26" s="28">
        <f t="shared" si="6"/>
        <v>1.9231259546986783</v>
      </c>
      <c r="I26" s="28"/>
      <c r="J26" s="28">
        <f t="shared" si="7"/>
        <v>37.774259835918826</v>
      </c>
      <c r="K26" s="28">
        <f t="shared" si="20"/>
        <v>3.727510967621848</v>
      </c>
      <c r="L26" s="28">
        <f t="shared" si="21"/>
        <v>1.302680270493989</v>
      </c>
      <c r="M26" s="24">
        <v>185</v>
      </c>
      <c r="N26" s="11">
        <v>17800</v>
      </c>
      <c r="O26" s="24">
        <f t="shared" si="8"/>
        <v>1276088.205297053</v>
      </c>
      <c r="P26" s="24">
        <f t="shared" si="9"/>
        <v>831735.7211316653</v>
      </c>
      <c r="Q26" s="24">
        <f t="shared" si="10"/>
        <v>444352.4841653878</v>
      </c>
      <c r="R26" s="26">
        <f t="shared" si="11"/>
        <v>0.1327491079212846</v>
      </c>
      <c r="S26" s="24">
        <f t="shared" si="12"/>
        <v>55</v>
      </c>
      <c r="T26" s="27">
        <f t="shared" si="13"/>
        <v>720.456804567665</v>
      </c>
      <c r="U26" s="24">
        <f t="shared" si="14"/>
        <v>52236.72901902281</v>
      </c>
      <c r="V26" s="27">
        <f t="shared" si="15"/>
        <v>883972.4501506881</v>
      </c>
      <c r="W26" s="27">
        <f t="shared" si="16"/>
        <v>392115.75514636503</v>
      </c>
      <c r="X26" s="24">
        <f t="shared" si="17"/>
        <v>16805.36868430614</v>
      </c>
      <c r="Y26" s="24">
        <f t="shared" si="22"/>
        <v>8814.010308855826</v>
      </c>
      <c r="Z26" s="24">
        <f t="shared" si="23"/>
        <v>0</v>
      </c>
      <c r="AA26" s="24">
        <f t="shared" si="24"/>
        <v>340807.7872371965</v>
      </c>
      <c r="AB26" s="33">
        <f t="shared" si="18"/>
        <v>153754765434.0041</v>
      </c>
    </row>
    <row r="27" spans="1:28" ht="12.75">
      <c r="A27" s="28">
        <f t="shared" si="19"/>
        <v>60</v>
      </c>
      <c r="B27" s="28">
        <f t="shared" si="0"/>
        <v>1.0471975511965976</v>
      </c>
      <c r="C27" s="29">
        <f t="shared" si="1"/>
        <v>0.3105318219829283</v>
      </c>
      <c r="D27" s="29">
        <f t="shared" si="2"/>
        <v>74.14673359510887</v>
      </c>
      <c r="E27" s="28">
        <f t="shared" si="3"/>
        <v>1.0959668021456985</v>
      </c>
      <c r="F27" s="28">
        <f t="shared" si="4"/>
        <v>124.198770286834</v>
      </c>
      <c r="G27" s="28">
        <f t="shared" si="5"/>
        <v>1.1490285312713868</v>
      </c>
      <c r="H27" s="28">
        <f t="shared" si="6"/>
        <v>1.8124641561759909</v>
      </c>
      <c r="I27" s="28"/>
      <c r="J27" s="28">
        <f t="shared" si="7"/>
        <v>44.18150115878726</v>
      </c>
      <c r="K27" s="28">
        <f t="shared" si="20"/>
        <v>3.8443447937210617</v>
      </c>
      <c r="L27" s="28">
        <f t="shared" si="21"/>
        <v>0.8411787386735958</v>
      </c>
      <c r="M27" s="24">
        <v>175</v>
      </c>
      <c r="N27" s="11">
        <v>18000</v>
      </c>
      <c r="O27" s="24">
        <f t="shared" si="8"/>
        <v>1319811.8579929378</v>
      </c>
      <c r="P27" s="24">
        <f t="shared" si="9"/>
        <v>879329.1413442078</v>
      </c>
      <c r="Q27" s="24">
        <f t="shared" si="10"/>
        <v>440482.71664873</v>
      </c>
      <c r="R27" s="26">
        <f t="shared" si="11"/>
        <v>0.15526591099146414</v>
      </c>
      <c r="S27" s="24">
        <f t="shared" si="12"/>
        <v>60</v>
      </c>
      <c r="T27" s="27">
        <f t="shared" si="13"/>
        <v>710.532466686817</v>
      </c>
      <c r="U27" s="24">
        <f t="shared" si="14"/>
        <v>52683.661518102985</v>
      </c>
      <c r="V27" s="27">
        <f t="shared" si="15"/>
        <v>932012.8028623108</v>
      </c>
      <c r="W27" s="27">
        <f t="shared" si="16"/>
        <v>387799.055130627</v>
      </c>
      <c r="X27" s="24">
        <f t="shared" si="17"/>
        <v>17085.609684428506</v>
      </c>
      <c r="Y27" s="24">
        <f t="shared" si="22"/>
        <v>9557.468306612085</v>
      </c>
      <c r="Z27" s="24">
        <f t="shared" si="23"/>
        <v>0</v>
      </c>
      <c r="AA27" s="24">
        <f t="shared" si="24"/>
        <v>389957.405138496</v>
      </c>
      <c r="AB27" s="33">
        <f t="shared" si="18"/>
        <v>150388107160.2071</v>
      </c>
    </row>
    <row r="28" spans="1:28" ht="12.75">
      <c r="A28" s="28">
        <f t="shared" si="19"/>
        <v>65</v>
      </c>
      <c r="B28" s="28">
        <f t="shared" si="0"/>
        <v>1.1344640137963142</v>
      </c>
      <c r="C28" s="29">
        <f t="shared" si="1"/>
        <v>0.35623235742234843</v>
      </c>
      <c r="D28" s="29">
        <f t="shared" si="2"/>
        <v>74.70071828526989</v>
      </c>
      <c r="E28" s="28">
        <f t="shared" si="3"/>
        <v>1.1220138286296493</v>
      </c>
      <c r="F28" s="28">
        <f t="shared" si="4"/>
        <v>126.5649479354177</v>
      </c>
      <c r="G28" s="28">
        <f t="shared" si="5"/>
        <v>1.1031516530674457</v>
      </c>
      <c r="H28" s="28">
        <f t="shared" si="6"/>
        <v>1.705367841856284</v>
      </c>
      <c r="I28" s="28"/>
      <c r="J28" s="28">
        <f t="shared" si="7"/>
        <v>50.68363110663184</v>
      </c>
      <c r="K28" s="28">
        <f t="shared" si="20"/>
        <v>3.9012779687067476</v>
      </c>
      <c r="L28" s="28">
        <f t="shared" si="21"/>
        <v>0.40990677034298145</v>
      </c>
      <c r="M28" s="24">
        <v>175</v>
      </c>
      <c r="N28" s="11">
        <v>18500</v>
      </c>
      <c r="O28" s="24">
        <f t="shared" si="8"/>
        <v>1367023.1446204388</v>
      </c>
      <c r="P28" s="24">
        <f t="shared" si="9"/>
        <v>920230.3358376686</v>
      </c>
      <c r="Q28" s="24">
        <f t="shared" si="10"/>
        <v>446792.8087827702</v>
      </c>
      <c r="R28" s="26">
        <f t="shared" si="11"/>
        <v>0.17811617871117422</v>
      </c>
      <c r="S28" s="24">
        <f t="shared" si="12"/>
        <v>65</v>
      </c>
      <c r="T28" s="27">
        <f t="shared" si="13"/>
        <v>701.2581990254106</v>
      </c>
      <c r="U28" s="24">
        <f t="shared" si="14"/>
        <v>52384.491170632915</v>
      </c>
      <c r="V28" s="27">
        <f t="shared" si="15"/>
        <v>972614.8270083015</v>
      </c>
      <c r="W28" s="27">
        <f t="shared" si="16"/>
        <v>394408.3176121373</v>
      </c>
      <c r="X28" s="24">
        <f t="shared" si="17"/>
        <v>17503.914295335362</v>
      </c>
      <c r="Y28" s="24">
        <f t="shared" si="22"/>
        <v>9888.655962346964</v>
      </c>
      <c r="Z28" s="24">
        <f t="shared" si="23"/>
        <v>0</v>
      </c>
      <c r="AA28" s="24">
        <f t="shared" si="24"/>
        <v>391103.68637138215</v>
      </c>
      <c r="AB28" s="33">
        <f t="shared" si="18"/>
        <v>155557921001.63657</v>
      </c>
    </row>
    <row r="29" spans="1:28" ht="12.75">
      <c r="A29" s="28">
        <f t="shared" si="19"/>
        <v>70</v>
      </c>
      <c r="B29" s="28">
        <f t="shared" si="0"/>
        <v>1.2217304763960306</v>
      </c>
      <c r="C29" s="29">
        <f t="shared" si="1"/>
        <v>0.4019743464854243</v>
      </c>
      <c r="D29" s="29">
        <f t="shared" si="2"/>
        <v>74.30723182573264</v>
      </c>
      <c r="E29" s="28">
        <f t="shared" si="3"/>
        <v>1.1519582563245974</v>
      </c>
      <c r="F29" s="28">
        <f t="shared" si="4"/>
        <v>129.2673588508231</v>
      </c>
      <c r="G29" s="28">
        <f t="shared" si="5"/>
        <v>1.057233161284467</v>
      </c>
      <c r="H29" s="28">
        <f t="shared" si="6"/>
        <v>1.602127315168537</v>
      </c>
      <c r="I29" s="28"/>
      <c r="J29" s="28">
        <f t="shared" si="7"/>
        <v>57.19165894703341</v>
      </c>
      <c r="K29" s="28">
        <f t="shared" si="20"/>
        <v>3.90481670424094</v>
      </c>
      <c r="L29" s="28">
        <f t="shared" si="21"/>
        <v>0.025478144408483946</v>
      </c>
      <c r="M29" s="24">
        <v>175</v>
      </c>
      <c r="N29" s="11">
        <v>19772</v>
      </c>
      <c r="O29" s="24">
        <f t="shared" si="8"/>
        <v>1454341.1412932393</v>
      </c>
      <c r="P29" s="24">
        <f t="shared" si="9"/>
        <v>954128.0218251359</v>
      </c>
      <c r="Q29" s="24">
        <f t="shared" si="10"/>
        <v>500213.1194681034</v>
      </c>
      <c r="R29" s="26">
        <f t="shared" si="11"/>
        <v>0.20098717324271215</v>
      </c>
      <c r="S29" s="24">
        <f t="shared" si="12"/>
        <v>70</v>
      </c>
      <c r="T29" s="27">
        <f t="shared" si="13"/>
        <v>692.9912718067835</v>
      </c>
      <c r="U29" s="24">
        <f t="shared" si="14"/>
        <v>51494.26308735596</v>
      </c>
      <c r="V29" s="27">
        <f t="shared" si="15"/>
        <v>1005622.2849124919</v>
      </c>
      <c r="W29" s="27">
        <f t="shared" si="16"/>
        <v>448718.8563807474</v>
      </c>
      <c r="X29" s="24">
        <f t="shared" si="17"/>
        <v>18039.747926842138</v>
      </c>
      <c r="Y29" s="24">
        <f t="shared" si="22"/>
        <v>10378.135062827032</v>
      </c>
      <c r="Z29" s="24">
        <f t="shared" si="23"/>
        <v>0</v>
      </c>
      <c r="AA29" s="24">
        <f t="shared" si="24"/>
        <v>421563.58699644235</v>
      </c>
      <c r="AB29" s="33">
        <f t="shared" si="18"/>
        <v>201348612071.6458</v>
      </c>
    </row>
    <row r="30" spans="1:28" ht="12.75">
      <c r="A30" s="28">
        <f t="shared" si="19"/>
        <v>75</v>
      </c>
      <c r="B30" s="28">
        <f t="shared" si="0"/>
        <v>1.3089969389957472</v>
      </c>
      <c r="C30" s="29">
        <f t="shared" si="1"/>
        <v>0.4472244670106332</v>
      </c>
      <c r="D30" s="29">
        <f t="shared" si="2"/>
        <v>73.12363571667406</v>
      </c>
      <c r="E30" s="28">
        <f t="shared" si="3"/>
        <v>1.1854451681761398</v>
      </c>
      <c r="F30" s="28">
        <f t="shared" si="4"/>
        <v>132.26550910287364</v>
      </c>
      <c r="G30" s="28">
        <f t="shared" si="5"/>
        <v>1.0118084359921236</v>
      </c>
      <c r="H30" s="28">
        <f t="shared" si="6"/>
        <v>1.5029230391280193</v>
      </c>
      <c r="I30" s="28"/>
      <c r="J30" s="28">
        <f t="shared" si="7"/>
        <v>63.629705262717245</v>
      </c>
      <c r="K30" s="28">
        <f t="shared" si="20"/>
        <v>3.8628277894103005</v>
      </c>
      <c r="L30" s="28">
        <f t="shared" si="21"/>
        <v>-0.3023112705862852</v>
      </c>
      <c r="M30" s="24">
        <v>173</v>
      </c>
      <c r="N30" s="11">
        <v>19000</v>
      </c>
      <c r="O30" s="24">
        <f t="shared" si="8"/>
        <v>1374724.3514734723</v>
      </c>
      <c r="P30" s="24">
        <f t="shared" si="9"/>
        <v>980764.217448263</v>
      </c>
      <c r="Q30" s="24">
        <f t="shared" si="10"/>
        <v>393960.13402520935</v>
      </c>
      <c r="R30" s="26">
        <f t="shared" si="11"/>
        <v>0.2236122335053166</v>
      </c>
      <c r="S30" s="24">
        <f t="shared" si="12"/>
        <v>75</v>
      </c>
      <c r="T30" s="27">
        <f t="shared" si="13"/>
        <v>685.9423398230872</v>
      </c>
      <c r="U30" s="24">
        <f t="shared" si="14"/>
        <v>50158.597779866475</v>
      </c>
      <c r="V30" s="27">
        <f t="shared" si="15"/>
        <v>1030922.8152281294</v>
      </c>
      <c r="W30" s="27">
        <f t="shared" si="16"/>
        <v>343801.5362453429</v>
      </c>
      <c r="X30" s="24">
        <f t="shared" si="17"/>
        <v>18674.50283328957</v>
      </c>
      <c r="Y30" s="24">
        <f t="shared" si="22"/>
        <v>10400.663822987235</v>
      </c>
      <c r="Z30" s="24">
        <f t="shared" si="23"/>
        <v>0</v>
      </c>
      <c r="AA30" s="24">
        <f t="shared" si="24"/>
        <v>396260.19631304516</v>
      </c>
      <c r="AB30" s="33">
        <f t="shared" si="18"/>
        <v>118199496324.65785</v>
      </c>
    </row>
    <row r="31" spans="1:28" ht="12.75">
      <c r="A31" s="28">
        <f t="shared" si="19"/>
        <v>80</v>
      </c>
      <c r="B31" s="28">
        <f t="shared" si="0"/>
        <v>1.3962634015954636</v>
      </c>
      <c r="C31" s="29">
        <f t="shared" si="1"/>
        <v>0.49154709100169414</v>
      </c>
      <c r="D31" s="29">
        <f t="shared" si="2"/>
        <v>71.3088349391568</v>
      </c>
      <c r="E31" s="28">
        <f t="shared" si="3"/>
        <v>1.2221143067083007</v>
      </c>
      <c r="F31" s="28">
        <f t="shared" si="4"/>
        <v>135.51775883799002</v>
      </c>
      <c r="G31" s="28">
        <f t="shared" si="5"/>
        <v>0.9673147861264146</v>
      </c>
      <c r="H31" s="28">
        <f t="shared" si="6"/>
        <v>1.4078320651947551</v>
      </c>
      <c r="I31" s="28"/>
      <c r="J31" s="28">
        <f t="shared" si="7"/>
        <v>69.93579025818417</v>
      </c>
      <c r="K31" s="28">
        <f t="shared" si="20"/>
        <v>3.783650997280155</v>
      </c>
      <c r="L31" s="28">
        <f t="shared" si="21"/>
        <v>-0.5700560904313776</v>
      </c>
      <c r="M31" s="24">
        <v>170</v>
      </c>
      <c r="N31" s="11">
        <v>18000</v>
      </c>
      <c r="O31" s="24">
        <f t="shared" si="8"/>
        <v>1269297.2619169909</v>
      </c>
      <c r="P31" s="24">
        <f t="shared" si="9"/>
        <v>999936.2051749825</v>
      </c>
      <c r="Q31" s="24">
        <f t="shared" si="10"/>
        <v>269361.0567420083</v>
      </c>
      <c r="R31" s="26">
        <f t="shared" si="11"/>
        <v>0.24577354550084707</v>
      </c>
      <c r="S31" s="24">
        <f t="shared" si="12"/>
        <v>80</v>
      </c>
      <c r="T31" s="27">
        <f t="shared" si="13"/>
        <v>680.1846339981289</v>
      </c>
      <c r="U31" s="24">
        <f t="shared" si="14"/>
        <v>48503.17379392335</v>
      </c>
      <c r="V31" s="27">
        <f t="shared" si="15"/>
        <v>1048439.3789689059</v>
      </c>
      <c r="W31" s="27">
        <f t="shared" si="16"/>
        <v>220857.88294808497</v>
      </c>
      <c r="X31" s="24">
        <f t="shared" si="17"/>
        <v>19390.32024764542</v>
      </c>
      <c r="Y31" s="24">
        <f t="shared" si="22"/>
        <v>9721.881034678177</v>
      </c>
      <c r="Z31" s="24">
        <f t="shared" si="23"/>
        <v>0</v>
      </c>
      <c r="AA31" s="24">
        <f t="shared" si="24"/>
        <v>282329.70959671395</v>
      </c>
      <c r="AB31" s="33">
        <f t="shared" si="18"/>
        <v>48778204460.31</v>
      </c>
    </row>
    <row r="32" spans="1:28" ht="12.75">
      <c r="A32" s="28">
        <f t="shared" si="19"/>
        <v>85</v>
      </c>
      <c r="B32" s="28">
        <f t="shared" si="0"/>
        <v>1.4835298641951802</v>
      </c>
      <c r="C32" s="29">
        <f t="shared" si="1"/>
        <v>0.5346014510724353</v>
      </c>
      <c r="D32" s="29">
        <f t="shared" si="2"/>
        <v>69.01166479538139</v>
      </c>
      <c r="E32" s="28">
        <f t="shared" si="3"/>
        <v>1.2616093007685614</v>
      </c>
      <c r="F32" s="28">
        <f t="shared" si="4"/>
        <v>138.98243123085408</v>
      </c>
      <c r="G32" s="28">
        <f t="shared" si="5"/>
        <v>0.9240942939785204</v>
      </c>
      <c r="H32" s="28">
        <f t="shared" si="6"/>
        <v>1.316840104507405</v>
      </c>
      <c r="I32" s="28"/>
      <c r="J32" s="28">
        <f t="shared" si="7"/>
        <v>76.06143061030522</v>
      </c>
      <c r="K32" s="28">
        <f t="shared" si="20"/>
        <v>3.675384211272632</v>
      </c>
      <c r="L32" s="28">
        <f t="shared" si="21"/>
        <v>-0.779497869193424</v>
      </c>
      <c r="M32" s="24">
        <v>177</v>
      </c>
      <c r="N32" s="11">
        <v>17750</v>
      </c>
      <c r="O32" s="24">
        <f t="shared" si="8"/>
        <v>1211154.7171589434</v>
      </c>
      <c r="P32" s="24">
        <f t="shared" si="9"/>
        <v>1011498.0746023322</v>
      </c>
      <c r="Q32" s="24">
        <f t="shared" si="10"/>
        <v>199656.64255661122</v>
      </c>
      <c r="R32" s="26">
        <f t="shared" si="11"/>
        <v>0.26730072553621764</v>
      </c>
      <c r="S32" s="24">
        <f t="shared" si="12"/>
        <v>85</v>
      </c>
      <c r="T32" s="27">
        <f t="shared" si="13"/>
        <v>675.680703164787</v>
      </c>
      <c r="U32" s="24">
        <f t="shared" si="14"/>
        <v>46629.85019551588</v>
      </c>
      <c r="V32" s="27">
        <f t="shared" si="15"/>
        <v>1058127.924797848</v>
      </c>
      <c r="W32" s="27">
        <f t="shared" si="16"/>
        <v>153026.79236109531</v>
      </c>
      <c r="X32" s="24">
        <f t="shared" si="17"/>
        <v>20169.492532660643</v>
      </c>
      <c r="Y32" s="24">
        <f t="shared" si="22"/>
        <v>9124.651774513652</v>
      </c>
      <c r="Z32" s="24">
        <f t="shared" si="23"/>
        <v>0</v>
      </c>
      <c r="AA32" s="24">
        <f t="shared" si="24"/>
        <v>186942.33765459014</v>
      </c>
      <c r="AB32" s="33">
        <f t="shared" si="18"/>
        <v>23417199180.32578</v>
      </c>
    </row>
    <row r="33" spans="1:28" ht="12.75">
      <c r="A33" s="28">
        <f t="shared" si="19"/>
        <v>90</v>
      </c>
      <c r="B33" s="28">
        <f t="shared" si="0"/>
        <v>1.5707963267948966</v>
      </c>
      <c r="C33" s="29">
        <f t="shared" si="1"/>
        <v>0.5761329939951234</v>
      </c>
      <c r="D33" s="29">
        <f t="shared" si="2"/>
        <v>66.36351849168116</v>
      </c>
      <c r="E33" s="28">
        <f t="shared" si="3"/>
        <v>1.3035840812053567</v>
      </c>
      <c r="F33" s="28">
        <f t="shared" si="4"/>
        <v>142.61867514459666</v>
      </c>
      <c r="G33" s="28">
        <f t="shared" si="5"/>
        <v>0.8824024950101779</v>
      </c>
      <c r="H33" s="28">
        <f t="shared" si="6"/>
        <v>1.2298566233761412</v>
      </c>
      <c r="I33" s="28"/>
      <c r="J33" s="28">
        <f t="shared" si="7"/>
        <v>81.97040927808841</v>
      </c>
      <c r="K33" s="28">
        <f t="shared" si="20"/>
        <v>3.5453872006699125</v>
      </c>
      <c r="L33" s="28">
        <f t="shared" si="21"/>
        <v>-0.9359508719441795</v>
      </c>
      <c r="M33" s="24">
        <v>185</v>
      </c>
      <c r="N33" s="11">
        <v>17500</v>
      </c>
      <c r="O33" s="24">
        <f t="shared" si="8"/>
        <v>1148088.8699060841</v>
      </c>
      <c r="P33" s="24">
        <f t="shared" si="9"/>
        <v>1015361.8329227217</v>
      </c>
      <c r="Q33" s="24">
        <f t="shared" si="10"/>
        <v>132727.0369833624</v>
      </c>
      <c r="R33" s="26">
        <f t="shared" si="11"/>
        <v>0.2880664969975617</v>
      </c>
      <c r="S33" s="24">
        <f t="shared" si="12"/>
        <v>90</v>
      </c>
      <c r="T33" s="27">
        <f t="shared" si="13"/>
        <v>672.3162669609738</v>
      </c>
      <c r="U33" s="24">
        <f t="shared" si="14"/>
        <v>44617.27301472264</v>
      </c>
      <c r="V33" s="27">
        <f t="shared" si="15"/>
        <v>1059979.1059374444</v>
      </c>
      <c r="W33" s="27">
        <f t="shared" si="16"/>
        <v>88109.76396863977</v>
      </c>
      <c r="X33" s="24">
        <f t="shared" si="17"/>
        <v>20994.242639657936</v>
      </c>
      <c r="Y33" s="24">
        <f t="shared" si="22"/>
        <v>8678.812418306557</v>
      </c>
      <c r="Z33" s="24">
        <f t="shared" si="23"/>
        <v>0</v>
      </c>
      <c r="AA33" s="24">
        <f t="shared" si="24"/>
        <v>120568.27816486754</v>
      </c>
      <c r="AB33" s="33">
        <f t="shared" si="18"/>
        <v>7763330506.609412</v>
      </c>
    </row>
    <row r="34" spans="1:28" ht="12.75">
      <c r="A34" s="24">
        <f t="shared" si="19"/>
        <v>95</v>
      </c>
      <c r="B34" s="24">
        <f t="shared" si="0"/>
        <v>1.6580627893946132</v>
      </c>
      <c r="C34" s="26">
        <f t="shared" si="1"/>
        <v>0.6159613954803782</v>
      </c>
      <c r="D34" s="26">
        <f t="shared" si="2"/>
        <v>63.4747028627988</v>
      </c>
      <c r="E34" s="24">
        <f t="shared" si="3"/>
        <v>1.3477067438072343</v>
      </c>
      <c r="F34" s="24">
        <f t="shared" si="4"/>
        <v>146.38709251710506</v>
      </c>
      <c r="G34" s="24">
        <f t="shared" si="5"/>
        <v>0.8424204093206391</v>
      </c>
      <c r="H34" s="24">
        <f t="shared" si="6"/>
        <v>1.1467307376887634</v>
      </c>
      <c r="J34" s="24">
        <f t="shared" si="7"/>
        <v>87.63707028286673</v>
      </c>
      <c r="K34" s="24">
        <f t="shared" si="20"/>
        <v>3.3999966028669917</v>
      </c>
      <c r="L34" s="28">
        <f t="shared" si="21"/>
        <v>-1.0467814310130161</v>
      </c>
      <c r="M34" s="24">
        <v>183</v>
      </c>
      <c r="N34" s="11">
        <v>16900</v>
      </c>
      <c r="O34" s="24">
        <f t="shared" si="8"/>
        <v>1060027.53780874</v>
      </c>
      <c r="P34" s="24">
        <f t="shared" si="9"/>
        <v>1011498.0746023322</v>
      </c>
      <c r="Q34" s="24">
        <f t="shared" si="10"/>
        <v>48529.46320640785</v>
      </c>
      <c r="R34" s="26">
        <f t="shared" si="11"/>
        <v>0.3079806977401891</v>
      </c>
      <c r="S34" s="24">
        <f t="shared" si="12"/>
        <v>95</v>
      </c>
      <c r="T34" s="27">
        <f t="shared" si="13"/>
        <v>669.9329164412394</v>
      </c>
      <c r="U34" s="24">
        <f t="shared" si="14"/>
        <v>42523.79280911589</v>
      </c>
      <c r="V34" s="27">
        <f t="shared" si="15"/>
        <v>1054021.8674114482</v>
      </c>
      <c r="W34" s="27">
        <f t="shared" si="16"/>
        <v>6005.670397291891</v>
      </c>
      <c r="X34" s="24">
        <f t="shared" si="17"/>
        <v>21846.763284286815</v>
      </c>
      <c r="Y34" s="24">
        <f t="shared" si="22"/>
        <v>8122.2141068489245</v>
      </c>
      <c r="Z34" s="24">
        <f t="shared" si="23"/>
        <v>0</v>
      </c>
      <c r="AA34" s="24">
        <f t="shared" si="24"/>
        <v>47057.71718296583</v>
      </c>
      <c r="AB34" s="33">
        <f t="shared" si="18"/>
        <v>36068076.920908146</v>
      </c>
    </row>
    <row r="35" spans="1:28" ht="12.75">
      <c r="A35" s="24">
        <f t="shared" si="19"/>
        <v>100</v>
      </c>
      <c r="B35" s="24">
        <f t="shared" si="0"/>
        <v>1.7453292519943295</v>
      </c>
      <c r="C35" s="26">
        <f t="shared" si="1"/>
        <v>0.6539672569075246</v>
      </c>
      <c r="D35" s="26">
        <f t="shared" si="2"/>
        <v>60.43362193625657</v>
      </c>
      <c r="E35" s="24">
        <f t="shared" si="3"/>
        <v>1.3936612722502226</v>
      </c>
      <c r="F35" s="24">
        <f t="shared" si="4"/>
        <v>150.25016003989532</v>
      </c>
      <c r="G35" s="24">
        <f t="shared" si="5"/>
        <v>0.8042678962490946</v>
      </c>
      <c r="H35" s="24">
        <f t="shared" si="6"/>
        <v>1.0672662904604906</v>
      </c>
      <c r="J35" s="24">
        <f t="shared" si="7"/>
        <v>93.04442596049674</v>
      </c>
      <c r="K35" s="24">
        <f t="shared" si="20"/>
        <v>3.244413406578005</v>
      </c>
      <c r="L35" s="28">
        <f t="shared" si="21"/>
        <v>-1.120165975751241</v>
      </c>
      <c r="M35" s="24">
        <v>180</v>
      </c>
      <c r="N35" s="11">
        <v>16400</v>
      </c>
      <c r="O35" s="24">
        <f t="shared" si="8"/>
        <v>979024.6753673565</v>
      </c>
      <c r="P35" s="24">
        <f t="shared" si="9"/>
        <v>999936.2051749825</v>
      </c>
      <c r="Q35" s="24">
        <f t="shared" si="10"/>
        <v>-20911.529807626037</v>
      </c>
      <c r="R35" s="26">
        <f t="shared" si="11"/>
        <v>0.3269836284537623</v>
      </c>
      <c r="S35" s="24">
        <f t="shared" si="12"/>
        <v>100</v>
      </c>
      <c r="T35" s="27">
        <f t="shared" si="13"/>
        <v>668.3548219670096</v>
      </c>
      <c r="U35" s="24">
        <f t="shared" si="14"/>
        <v>40391.10263002833</v>
      </c>
      <c r="V35" s="27">
        <f t="shared" si="15"/>
        <v>1040327.3078050108</v>
      </c>
      <c r="W35" s="27">
        <f t="shared" si="16"/>
        <v>-61302.632437654305</v>
      </c>
      <c r="X35" s="24">
        <f t="shared" si="17"/>
        <v>22709.44530910029</v>
      </c>
      <c r="Y35" s="24">
        <f t="shared" si="22"/>
        <v>7502.706002711636</v>
      </c>
      <c r="Z35" s="24">
        <f t="shared" si="23"/>
        <v>-30643.816218827153</v>
      </c>
      <c r="AA35" s="24">
        <f t="shared" si="24"/>
        <v>0</v>
      </c>
      <c r="AB35" s="33">
        <f t="shared" si="18"/>
        <v>3758012743.7861457</v>
      </c>
    </row>
    <row r="36" spans="1:28" ht="12.75">
      <c r="A36" s="24">
        <f t="shared" si="19"/>
        <v>105</v>
      </c>
      <c r="B36" s="24">
        <f t="shared" si="0"/>
        <v>1.8325957145940461</v>
      </c>
      <c r="C36" s="26">
        <f t="shared" si="1"/>
        <v>0.6900789212156758</v>
      </c>
      <c r="D36" s="26">
        <f t="shared" si="2"/>
        <v>57.30782930362668</v>
      </c>
      <c r="E36" s="24">
        <f t="shared" si="3"/>
        <v>1.441147572481749</v>
      </c>
      <c r="F36" s="24">
        <f t="shared" si="4"/>
        <v>154.1724829273458</v>
      </c>
      <c r="G36" s="24">
        <f t="shared" si="5"/>
        <v>0.7680168893565661</v>
      </c>
      <c r="H36" s="24">
        <f t="shared" si="6"/>
        <v>0.9912351211997721</v>
      </c>
      <c r="J36" s="24">
        <f t="shared" si="7"/>
        <v>98.1822811673748</v>
      </c>
      <c r="K36" s="24">
        <f t="shared" si="20"/>
        <v>3.082713124126835</v>
      </c>
      <c r="L36" s="28">
        <f t="shared" si="21"/>
        <v>-1.1642076971778148</v>
      </c>
      <c r="M36" s="24">
        <v>175</v>
      </c>
      <c r="N36" s="11">
        <v>16000</v>
      </c>
      <c r="O36" s="24">
        <f t="shared" si="8"/>
        <v>905463.7029973016</v>
      </c>
      <c r="P36" s="24">
        <f t="shared" si="9"/>
        <v>980764.217448263</v>
      </c>
      <c r="Q36" s="24">
        <f t="shared" si="10"/>
        <v>-75300.51445096137</v>
      </c>
      <c r="R36" s="26">
        <f t="shared" si="11"/>
        <v>0.3450394606078379</v>
      </c>
      <c r="S36" s="24">
        <f t="shared" si="12"/>
        <v>105</v>
      </c>
      <c r="T36" s="27">
        <f t="shared" si="13"/>
        <v>667.4077288499674</v>
      </c>
      <c r="U36" s="24">
        <f t="shared" si="14"/>
        <v>38247.68820085509</v>
      </c>
      <c r="V36" s="27">
        <f t="shared" si="15"/>
        <v>1019011.905649118</v>
      </c>
      <c r="W36" s="27">
        <f t="shared" si="16"/>
        <v>-113548.20265181642</v>
      </c>
      <c r="X36" s="24">
        <f t="shared" si="17"/>
        <v>23565.252565313614</v>
      </c>
      <c r="Y36" s="24">
        <f t="shared" si="22"/>
        <v>6936.104529285378</v>
      </c>
      <c r="Z36" s="24">
        <f t="shared" si="23"/>
        <v>-56766.60132590821</v>
      </c>
      <c r="AA36" s="24">
        <f t="shared" si="24"/>
        <v>0</v>
      </c>
      <c r="AB36" s="33">
        <f t="shared" si="18"/>
        <v>12893194325.45797</v>
      </c>
    </row>
    <row r="37" spans="1:28" ht="12.75">
      <c r="A37" s="24">
        <f t="shared" si="19"/>
        <v>110</v>
      </c>
      <c r="B37" s="24">
        <f t="shared" si="0"/>
        <v>1.9198621771937625</v>
      </c>
      <c r="C37" s="26">
        <f t="shared" si="1"/>
        <v>0.724260291115832</v>
      </c>
      <c r="D37" s="26">
        <f t="shared" si="2"/>
        <v>54.146122674296684</v>
      </c>
      <c r="E37" s="24">
        <f t="shared" si="3"/>
        <v>1.4898802355293597</v>
      </c>
      <c r="F37" s="24">
        <f t="shared" si="4"/>
        <v>158.12091942704802</v>
      </c>
      <c r="G37" s="24">
        <f t="shared" si="5"/>
        <v>0.7337036252191684</v>
      </c>
      <c r="H37" s="24">
        <f t="shared" si="6"/>
        <v>0.9183880575102688</v>
      </c>
      <c r="J37" s="24">
        <f t="shared" si="7"/>
        <v>103.04550009356818</v>
      </c>
      <c r="K37" s="24">
        <f t="shared" si="20"/>
        <v>2.9179313557160302</v>
      </c>
      <c r="L37" s="28">
        <f t="shared" si="21"/>
        <v>-1.1863937417447832</v>
      </c>
      <c r="M37" s="24">
        <v>170</v>
      </c>
      <c r="N37" s="11">
        <v>16600</v>
      </c>
      <c r="O37" s="24">
        <f t="shared" si="8"/>
        <v>887996.4118584656</v>
      </c>
      <c r="P37" s="24">
        <f t="shared" si="9"/>
        <v>954128.021825136</v>
      </c>
      <c r="Q37" s="24">
        <f t="shared" si="10"/>
        <v>-66131.6099666704</v>
      </c>
      <c r="R37" s="26">
        <f t="shared" si="11"/>
        <v>0.362130145557916</v>
      </c>
      <c r="S37" s="24">
        <f t="shared" si="12"/>
        <v>110</v>
      </c>
      <c r="T37" s="27">
        <f t="shared" si="13"/>
        <v>666.9306301030713</v>
      </c>
      <c r="U37" s="24">
        <f t="shared" si="14"/>
        <v>36111.707712806885</v>
      </c>
      <c r="V37" s="27">
        <f t="shared" si="15"/>
        <v>990239.7295379429</v>
      </c>
      <c r="W37" s="27">
        <f t="shared" si="16"/>
        <v>-102243.31767947727</v>
      </c>
      <c r="X37" s="24">
        <f t="shared" si="17"/>
        <v>24398.21890884751</v>
      </c>
      <c r="Y37" s="24">
        <f t="shared" si="22"/>
        <v>6605.872374746013</v>
      </c>
      <c r="Z37" s="24">
        <f t="shared" si="23"/>
        <v>-51114.15883973864</v>
      </c>
      <c r="AA37" s="24">
        <f t="shared" si="24"/>
        <v>0</v>
      </c>
      <c r="AB37" s="33">
        <f t="shared" si="18"/>
        <v>10453696010.10651</v>
      </c>
    </row>
    <row r="38" spans="1:28" ht="12.75">
      <c r="A38" s="24">
        <f t="shared" si="19"/>
        <v>115</v>
      </c>
      <c r="B38" s="24">
        <f t="shared" si="0"/>
        <v>2.007128639793479</v>
      </c>
      <c r="C38" s="26">
        <f t="shared" si="1"/>
        <v>0.7565000877342424</v>
      </c>
      <c r="D38" s="26">
        <f t="shared" si="2"/>
        <v>50.98106092638656</v>
      </c>
      <c r="E38" s="24">
        <f t="shared" si="3"/>
        <v>1.5395863748356267</v>
      </c>
      <c r="F38" s="24">
        <f t="shared" si="4"/>
        <v>162.06461114350506</v>
      </c>
      <c r="G38" s="24">
        <f t="shared" si="5"/>
        <v>0.7013394262319756</v>
      </c>
      <c r="H38" s="24">
        <f t="shared" si="6"/>
        <v>0.8484635352296266</v>
      </c>
      <c r="J38" s="24">
        <f t="shared" si="7"/>
        <v>107.632478016023</v>
      </c>
      <c r="K38" s="24">
        <f t="shared" si="20"/>
        <v>2.752186753472893</v>
      </c>
      <c r="L38" s="28">
        <f t="shared" si="21"/>
        <v>-1.1933259408832917</v>
      </c>
      <c r="M38" s="24">
        <v>170</v>
      </c>
      <c r="N38" s="11">
        <v>17200</v>
      </c>
      <c r="O38" s="24">
        <f t="shared" si="8"/>
        <v>866678.0357485715</v>
      </c>
      <c r="P38" s="24">
        <f t="shared" si="9"/>
        <v>920230.3358376687</v>
      </c>
      <c r="Q38" s="24">
        <f t="shared" si="10"/>
        <v>-53552.30008909723</v>
      </c>
      <c r="R38" s="26">
        <f t="shared" si="11"/>
        <v>0.3782500438671212</v>
      </c>
      <c r="S38" s="24">
        <f t="shared" si="12"/>
        <v>115</v>
      </c>
      <c r="T38" s="27">
        <f t="shared" si="13"/>
        <v>666.7815569543072</v>
      </c>
      <c r="U38" s="24">
        <f t="shared" si="14"/>
        <v>33993.23117967843</v>
      </c>
      <c r="V38" s="27">
        <f t="shared" si="15"/>
        <v>954223.5670173472</v>
      </c>
      <c r="W38" s="27">
        <f t="shared" si="16"/>
        <v>-87545.5312687757</v>
      </c>
      <c r="X38" s="24">
        <f t="shared" si="17"/>
        <v>25194.0574767019</v>
      </c>
      <c r="Y38" s="24">
        <f t="shared" si="22"/>
        <v>6459.993907457207</v>
      </c>
      <c r="Z38" s="24">
        <f t="shared" si="23"/>
        <v>-43765.26563438785</v>
      </c>
      <c r="AA38" s="24">
        <f t="shared" si="24"/>
        <v>0</v>
      </c>
      <c r="AB38" s="33">
        <f t="shared" si="18"/>
        <v>7664220045.132183</v>
      </c>
    </row>
    <row r="39" spans="1:28" ht="12.75">
      <c r="A39" s="24">
        <f t="shared" si="19"/>
        <v>120</v>
      </c>
      <c r="B39" s="24">
        <f t="shared" si="0"/>
        <v>2.0943951023931953</v>
      </c>
      <c r="C39" s="26">
        <f t="shared" si="1"/>
        <v>0.786802672419711</v>
      </c>
      <c r="D39" s="26">
        <f t="shared" si="2"/>
        <v>47.83149099863647</v>
      </c>
      <c r="E39" s="24">
        <f t="shared" si="3"/>
        <v>1.5900028028328346</v>
      </c>
      <c r="F39" s="24">
        <f t="shared" si="4"/>
        <v>165.9749485836333</v>
      </c>
      <c r="G39" s="24">
        <f t="shared" si="5"/>
        <v>0.6709199142172277</v>
      </c>
      <c r="H39" s="24">
        <f t="shared" si="6"/>
        <v>0.7811939886123702</v>
      </c>
      <c r="J39" s="24">
        <f t="shared" si="7"/>
        <v>111.94383545387322</v>
      </c>
      <c r="K39" s="24">
        <f t="shared" si="20"/>
        <v>2.586814462710132</v>
      </c>
      <c r="L39" s="28">
        <f t="shared" si="21"/>
        <v>-1.1906453772835803</v>
      </c>
      <c r="M39" s="24">
        <v>170</v>
      </c>
      <c r="N39" s="11">
        <v>17900</v>
      </c>
      <c r="O39" s="24">
        <f t="shared" si="8"/>
        <v>846617.3906758655</v>
      </c>
      <c r="P39" s="24">
        <f t="shared" si="9"/>
        <v>879329.1413442079</v>
      </c>
      <c r="Q39" s="24">
        <f t="shared" si="10"/>
        <v>-32711.750668342458</v>
      </c>
      <c r="R39" s="26">
        <f t="shared" si="11"/>
        <v>0.3934013362098555</v>
      </c>
      <c r="S39" s="24">
        <f t="shared" si="12"/>
        <v>120</v>
      </c>
      <c r="T39" s="27">
        <f t="shared" si="13"/>
        <v>666.8392010075561</v>
      </c>
      <c r="U39" s="24">
        <f t="shared" si="14"/>
        <v>31895.913240530852</v>
      </c>
      <c r="V39" s="27">
        <f t="shared" si="15"/>
        <v>911225.0545847388</v>
      </c>
      <c r="W39" s="27">
        <f t="shared" si="16"/>
        <v>-64607.663908873335</v>
      </c>
      <c r="X39" s="24">
        <f t="shared" si="17"/>
        <v>25600</v>
      </c>
      <c r="Y39" s="24">
        <f t="shared" si="22"/>
        <v>6305.360252855946</v>
      </c>
      <c r="Z39" s="24">
        <f t="shared" si="23"/>
        <v>-32296.331954436668</v>
      </c>
      <c r="AA39" s="24">
        <f t="shared" si="24"/>
        <v>0</v>
      </c>
      <c r="AB39" s="33">
        <f t="shared" si="18"/>
        <v>4174150235.7619343</v>
      </c>
    </row>
    <row r="40" spans="1:28" ht="12.75">
      <c r="A40" s="24">
        <f t="shared" si="19"/>
        <v>125</v>
      </c>
      <c r="B40" s="24">
        <f t="shared" si="0"/>
        <v>2.1816615649929116</v>
      </c>
      <c r="C40" s="26">
        <f t="shared" si="1"/>
        <v>0.8151803561427021</v>
      </c>
      <c r="D40" s="26">
        <f t="shared" si="2"/>
        <v>44.70484332294983</v>
      </c>
      <c r="E40" s="24">
        <f t="shared" si="3"/>
        <v>1.640872735298485</v>
      </c>
      <c r="F40" s="24">
        <f t="shared" si="4"/>
        <v>169.8254951718441</v>
      </c>
      <c r="G40" s="24">
        <f t="shared" si="5"/>
        <v>0.6424327307006281</v>
      </c>
      <c r="H40" s="24">
        <f t="shared" si="6"/>
        <v>0.716310274961705</v>
      </c>
      <c r="J40" s="24">
        <f t="shared" si="7"/>
        <v>115.98132397368089</v>
      </c>
      <c r="K40" s="24">
        <f t="shared" si="20"/>
        <v>2.4224931118846005</v>
      </c>
      <c r="L40" s="28">
        <f t="shared" si="21"/>
        <v>-1.1830788328988249</v>
      </c>
      <c r="M40" s="24">
        <v>163</v>
      </c>
      <c r="N40" s="11">
        <v>17950</v>
      </c>
      <c r="O40" s="24">
        <f t="shared" si="8"/>
        <v>793510.9689823594</v>
      </c>
      <c r="P40" s="24">
        <f t="shared" si="9"/>
        <v>831735.7211316652</v>
      </c>
      <c r="Q40" s="24">
        <f t="shared" si="10"/>
        <v>-38224.75214930577</v>
      </c>
      <c r="R40" s="26">
        <f t="shared" si="11"/>
        <v>0.40759017807135106</v>
      </c>
      <c r="S40" s="24">
        <f t="shared" si="12"/>
        <v>125</v>
      </c>
      <c r="T40" s="27">
        <f t="shared" si="13"/>
        <v>667.0019154036893</v>
      </c>
      <c r="U40" s="24">
        <f t="shared" si="14"/>
        <v>29818.216124229366</v>
      </c>
      <c r="V40" s="27">
        <f t="shared" si="15"/>
        <v>861553.9372558945</v>
      </c>
      <c r="W40" s="27">
        <f t="shared" si="16"/>
        <v>-68042.96827353514</v>
      </c>
      <c r="X40" s="24">
        <f t="shared" si="17"/>
        <v>25600</v>
      </c>
      <c r="Y40" s="24">
        <f t="shared" si="22"/>
        <v>6030.998476462702</v>
      </c>
      <c r="Z40" s="24">
        <f t="shared" si="23"/>
        <v>-34013.98413676757</v>
      </c>
      <c r="AA40" s="24">
        <f t="shared" si="24"/>
        <v>0</v>
      </c>
      <c r="AB40" s="33">
        <f t="shared" si="18"/>
        <v>4629845531.4733095</v>
      </c>
    </row>
    <row r="41" spans="1:28" ht="12.75">
      <c r="A41" s="24">
        <f t="shared" si="19"/>
        <v>130</v>
      </c>
      <c r="B41" s="24">
        <f t="shared" si="0"/>
        <v>2.2689280275926285</v>
      </c>
      <c r="C41" s="26">
        <f t="shared" si="1"/>
        <v>0.8416470138880338</v>
      </c>
      <c r="D41" s="26">
        <f t="shared" si="2"/>
        <v>41.599080700780384</v>
      </c>
      <c r="E41" s="24">
        <f t="shared" si="3"/>
        <v>1.6919421492820885</v>
      </c>
      <c r="F41" s="24">
        <f t="shared" si="4"/>
        <v>173.5918872451793</v>
      </c>
      <c r="G41" s="24">
        <f t="shared" si="5"/>
        <v>0.6158639471585292</v>
      </c>
      <c r="H41" s="24">
        <f t="shared" si="6"/>
        <v>0.6535444428034922</v>
      </c>
      <c r="J41" s="24">
        <f t="shared" si="7"/>
        <v>119.74691766510257</v>
      </c>
      <c r="K41" s="24">
        <f t="shared" si="20"/>
        <v>2.2593562148530113</v>
      </c>
      <c r="L41" s="28">
        <f t="shared" si="21"/>
        <v>-1.1745510170969173</v>
      </c>
      <c r="M41" s="24">
        <v>155</v>
      </c>
      <c r="N41" s="11">
        <v>18000</v>
      </c>
      <c r="O41" s="24">
        <f t="shared" si="8"/>
        <v>740463.6364738909</v>
      </c>
      <c r="P41" s="24">
        <f t="shared" si="9"/>
        <v>777812.2898655512</v>
      </c>
      <c r="Q41" s="24">
        <f t="shared" si="10"/>
        <v>-37348.65339166031</v>
      </c>
      <c r="R41" s="26">
        <f t="shared" si="11"/>
        <v>0.4208235069440169</v>
      </c>
      <c r="S41" s="24">
        <f t="shared" si="12"/>
        <v>130</v>
      </c>
      <c r="T41" s="27">
        <f t="shared" si="13"/>
        <v>667.1853014155839</v>
      </c>
      <c r="U41" s="24">
        <f t="shared" si="14"/>
        <v>27754.29519596136</v>
      </c>
      <c r="V41" s="27">
        <f t="shared" si="15"/>
        <v>805566.5850615125</v>
      </c>
      <c r="W41" s="27">
        <f t="shared" si="16"/>
        <v>-65102.94858762168</v>
      </c>
      <c r="X41" s="24">
        <f t="shared" si="17"/>
        <v>25600</v>
      </c>
      <c r="Y41" s="24">
        <f t="shared" si="22"/>
        <v>5640.545550275398</v>
      </c>
      <c r="Z41" s="24">
        <f t="shared" si="23"/>
        <v>-32543.97429381084</v>
      </c>
      <c r="AA41" s="24">
        <f t="shared" si="24"/>
        <v>0</v>
      </c>
      <c r="AB41" s="33">
        <f t="shared" si="18"/>
        <v>4238393914.8025117</v>
      </c>
    </row>
    <row r="42" spans="1:28" ht="12.75">
      <c r="A42" s="24">
        <f t="shared" si="19"/>
        <v>135</v>
      </c>
      <c r="B42" s="24">
        <f t="shared" si="0"/>
        <v>2.356194490192345</v>
      </c>
      <c r="C42" s="26">
        <f t="shared" si="1"/>
        <v>0.8662127789671704</v>
      </c>
      <c r="D42" s="26">
        <f t="shared" si="2"/>
        <v>38.50427125258681</v>
      </c>
      <c r="E42" s="24">
        <f t="shared" si="3"/>
        <v>1.7429558748172889</v>
      </c>
      <c r="F42" s="24">
        <f t="shared" si="4"/>
        <v>177.2517226561745</v>
      </c>
      <c r="G42" s="24">
        <f t="shared" si="5"/>
        <v>0.5912033911784769</v>
      </c>
      <c r="H42" s="24">
        <f t="shared" si="6"/>
        <v>0.5926311497589238</v>
      </c>
      <c r="J42" s="24">
        <f t="shared" si="7"/>
        <v>123.24205826415539</v>
      </c>
      <c r="K42" s="24">
        <f t="shared" si="20"/>
        <v>2.0970843594316904</v>
      </c>
      <c r="L42" s="28">
        <f t="shared" si="21"/>
        <v>-1.1683229011914518</v>
      </c>
      <c r="M42" s="24">
        <v>148</v>
      </c>
      <c r="N42" s="11">
        <v>18000</v>
      </c>
      <c r="O42" s="24">
        <f t="shared" si="8"/>
        <v>685376.0282960453</v>
      </c>
      <c r="P42" s="24">
        <f t="shared" si="9"/>
        <v>717969.2374176589</v>
      </c>
      <c r="Q42" s="24">
        <f t="shared" si="10"/>
        <v>-32593.209121613647</v>
      </c>
      <c r="R42" s="26">
        <f t="shared" si="11"/>
        <v>0.4331063894835852</v>
      </c>
      <c r="S42" s="24">
        <f t="shared" si="12"/>
        <v>135</v>
      </c>
      <c r="T42" s="27">
        <f t="shared" si="13"/>
        <v>667.3192336397373</v>
      </c>
      <c r="U42" s="24">
        <f t="shared" si="14"/>
        <v>25694.640784132796</v>
      </c>
      <c r="V42" s="27">
        <f t="shared" si="15"/>
        <v>743663.8782017917</v>
      </c>
      <c r="W42" s="27">
        <f t="shared" si="16"/>
        <v>-58287.84990574641</v>
      </c>
      <c r="X42" s="24">
        <f t="shared" si="17"/>
        <v>25600</v>
      </c>
      <c r="Y42" s="24">
        <f t="shared" si="22"/>
        <v>5242.710898579226</v>
      </c>
      <c r="Z42" s="24">
        <f t="shared" si="23"/>
        <v>-29136.424952873203</v>
      </c>
      <c r="AA42" s="24">
        <f t="shared" si="24"/>
        <v>0</v>
      </c>
      <c r="AB42" s="33">
        <f t="shared" si="18"/>
        <v>3397473446.6348214</v>
      </c>
    </row>
    <row r="43" spans="1:28" ht="12.75">
      <c r="A43" s="24">
        <f t="shared" si="19"/>
        <v>140</v>
      </c>
      <c r="B43" s="24">
        <f t="shared" si="0"/>
        <v>2.443460952792061</v>
      </c>
      <c r="C43" s="26">
        <f t="shared" si="1"/>
        <v>0.8888795924538525</v>
      </c>
      <c r="D43" s="26">
        <f t="shared" si="2"/>
        <v>35.40381164311971</v>
      </c>
      <c r="E43" s="24">
        <f t="shared" si="3"/>
        <v>1.7936534740905579</v>
      </c>
      <c r="F43" s="24">
        <f t="shared" si="4"/>
        <v>180.78444670233404</v>
      </c>
      <c r="G43" s="24">
        <f t="shared" si="5"/>
        <v>0.56844911419679</v>
      </c>
      <c r="H43" s="24">
        <f t="shared" si="6"/>
        <v>0.5333080094507898</v>
      </c>
      <c r="J43" s="24">
        <f t="shared" si="7"/>
        <v>126.46702194076987</v>
      </c>
      <c r="K43" s="24">
        <f t="shared" si="20"/>
        <v>1.9349782059686875</v>
      </c>
      <c r="L43" s="28">
        <f t="shared" si="21"/>
        <v>-1.1671298822777734</v>
      </c>
      <c r="M43" s="24">
        <v>140</v>
      </c>
      <c r="N43" s="11">
        <v>18000</v>
      </c>
      <c r="O43" s="24">
        <f t="shared" si="8"/>
        <v>630187.8472475308</v>
      </c>
      <c r="P43" s="24">
        <f t="shared" si="9"/>
        <v>652662.0055513398</v>
      </c>
      <c r="Q43" s="24">
        <f t="shared" si="10"/>
        <v>-22474.158303809003</v>
      </c>
      <c r="R43" s="26">
        <f t="shared" si="11"/>
        <v>0.44443979622692625</v>
      </c>
      <c r="S43" s="24">
        <f t="shared" si="12"/>
        <v>140</v>
      </c>
      <c r="T43" s="27">
        <f t="shared" si="13"/>
        <v>667.3448888585854</v>
      </c>
      <c r="U43" s="24">
        <f t="shared" si="14"/>
        <v>23626.552746148012</v>
      </c>
      <c r="V43" s="27">
        <f t="shared" si="15"/>
        <v>676288.5582974878</v>
      </c>
      <c r="W43" s="27">
        <f t="shared" si="16"/>
        <v>-46100.71104995697</v>
      </c>
      <c r="X43" s="24">
        <f t="shared" si="17"/>
        <v>25600</v>
      </c>
      <c r="Y43" s="24">
        <f t="shared" si="22"/>
        <v>4837.445514921718</v>
      </c>
      <c r="Z43" s="24">
        <f t="shared" si="23"/>
        <v>-23042.855524978484</v>
      </c>
      <c r="AA43" s="24">
        <f t="shared" si="24"/>
        <v>0</v>
      </c>
      <c r="AB43" s="33">
        <f t="shared" si="18"/>
        <v>2125275559.3116245</v>
      </c>
    </row>
    <row r="44" spans="1:28" ht="12.75">
      <c r="A44" s="24">
        <f t="shared" si="19"/>
        <v>145</v>
      </c>
      <c r="B44" s="24">
        <f t="shared" si="0"/>
        <v>2.5307274153917776</v>
      </c>
      <c r="C44" s="26">
        <f t="shared" si="1"/>
        <v>0.9096374109462185</v>
      </c>
      <c r="D44" s="26">
        <f t="shared" si="2"/>
        <v>32.275363400564956</v>
      </c>
      <c r="E44" s="24">
        <f t="shared" si="3"/>
        <v>1.843764956069692</v>
      </c>
      <c r="F44" s="24">
        <f t="shared" si="4"/>
        <v>184.17124111314962</v>
      </c>
      <c r="G44" s="24">
        <f t="shared" si="5"/>
        <v>0.547611198369389</v>
      </c>
      <c r="H44" s="24">
        <f t="shared" si="6"/>
        <v>0.4753151130028068</v>
      </c>
      <c r="J44" s="24">
        <f t="shared" si="7"/>
        <v>129.42037975098742</v>
      </c>
      <c r="K44" s="24">
        <f t="shared" si="20"/>
        <v>1.7720146861305324</v>
      </c>
      <c r="L44" s="28">
        <f t="shared" si="21"/>
        <v>-1.173302738120219</v>
      </c>
      <c r="M44" s="24">
        <v>130</v>
      </c>
      <c r="N44" s="11">
        <v>17333</v>
      </c>
      <c r="O44" s="24">
        <f t="shared" si="8"/>
        <v>552973.8011418794</v>
      </c>
      <c r="P44" s="24">
        <f t="shared" si="9"/>
        <v>582387.6217346808</v>
      </c>
      <c r="Q44" s="24">
        <f t="shared" si="10"/>
        <v>-29413.820592801436</v>
      </c>
      <c r="R44" s="26">
        <f t="shared" si="11"/>
        <v>0.45481870547310926</v>
      </c>
      <c r="S44" s="24">
        <f t="shared" si="12"/>
        <v>145</v>
      </c>
      <c r="T44" s="27">
        <f t="shared" si="13"/>
        <v>667.2121449718456</v>
      </c>
      <c r="U44" s="24">
        <f t="shared" si="14"/>
        <v>21534.514444236745</v>
      </c>
      <c r="V44" s="27">
        <f t="shared" si="15"/>
        <v>603922.1361789176</v>
      </c>
      <c r="W44" s="27">
        <f t="shared" si="16"/>
        <v>-50948.335037038196</v>
      </c>
      <c r="X44" s="24">
        <f t="shared" si="17"/>
        <v>25600</v>
      </c>
      <c r="Y44" s="24">
        <f t="shared" si="22"/>
        <v>4347.957979517368</v>
      </c>
      <c r="Z44" s="24">
        <f t="shared" si="23"/>
        <v>-25466.667518519098</v>
      </c>
      <c r="AA44" s="24">
        <f t="shared" si="24"/>
        <v>0</v>
      </c>
      <c r="AB44" s="33">
        <f t="shared" si="18"/>
        <v>2595732843.0462937</v>
      </c>
    </row>
    <row r="45" spans="1:28" ht="12.75">
      <c r="A45" s="24">
        <f t="shared" si="19"/>
        <v>150</v>
      </c>
      <c r="B45" s="24">
        <f t="shared" si="0"/>
        <v>2.6179938779914944</v>
      </c>
      <c r="C45" s="26">
        <f t="shared" si="1"/>
        <v>0.928460923079728</v>
      </c>
      <c r="D45" s="26">
        <f t="shared" si="2"/>
        <v>29.09159269558322</v>
      </c>
      <c r="E45" s="24">
        <f t="shared" si="3"/>
        <v>1.8930063928679464</v>
      </c>
      <c r="F45" s="24">
        <f t="shared" si="4"/>
        <v>187.39491962670124</v>
      </c>
      <c r="G45" s="24">
        <f t="shared" si="5"/>
        <v>0.528715052728729</v>
      </c>
      <c r="H45" s="24">
        <f t="shared" si="6"/>
        <v>0.4183939415606841</v>
      </c>
      <c r="J45" s="24">
        <f t="shared" si="7"/>
        <v>132.09853047263815</v>
      </c>
      <c r="K45" s="24">
        <f t="shared" si="20"/>
        <v>1.6068904329904343</v>
      </c>
      <c r="L45" s="28">
        <f t="shared" si="21"/>
        <v>-1.1888595590702937</v>
      </c>
      <c r="M45" s="24">
        <v>120</v>
      </c>
      <c r="N45" s="11">
        <v>16667</v>
      </c>
      <c r="O45" s="24">
        <f t="shared" si="8"/>
        <v>479051.25691816886</v>
      </c>
      <c r="P45" s="24">
        <f t="shared" si="9"/>
        <v>507680.9164613608</v>
      </c>
      <c r="Q45" s="24">
        <f t="shared" si="10"/>
        <v>-28629.659543191956</v>
      </c>
      <c r="R45" s="26">
        <f t="shared" si="11"/>
        <v>0.464230461539864</v>
      </c>
      <c r="S45" s="24">
        <f t="shared" si="12"/>
        <v>150</v>
      </c>
      <c r="T45" s="27">
        <f t="shared" si="13"/>
        <v>666.8776040509274</v>
      </c>
      <c r="U45" s="24">
        <f t="shared" si="14"/>
        <v>19400.531634855997</v>
      </c>
      <c r="V45" s="27">
        <f t="shared" si="15"/>
        <v>527081.4480962168</v>
      </c>
      <c r="W45" s="27">
        <f t="shared" si="16"/>
        <v>-48030.19117804791</v>
      </c>
      <c r="X45" s="24">
        <f t="shared" si="17"/>
        <v>25600</v>
      </c>
      <c r="Y45" s="24">
        <f t="shared" si="22"/>
        <v>3794.046855671859</v>
      </c>
      <c r="Z45" s="24">
        <f t="shared" si="23"/>
        <v>-24007.595589023957</v>
      </c>
      <c r="AA45" s="24">
        <f t="shared" si="24"/>
        <v>0</v>
      </c>
      <c r="AB45" s="33">
        <f t="shared" si="18"/>
        <v>2306899264.5998316</v>
      </c>
    </row>
    <row r="46" spans="1:28" ht="12.75">
      <c r="A46" s="24">
        <f t="shared" si="19"/>
        <v>155</v>
      </c>
      <c r="B46" s="24">
        <f t="shared" si="0"/>
        <v>2.705260340591211</v>
      </c>
      <c r="C46" s="26">
        <f t="shared" si="1"/>
        <v>0.9453066885995</v>
      </c>
      <c r="D46" s="26">
        <f t="shared" si="2"/>
        <v>25.82083019714115</v>
      </c>
      <c r="E46" s="24">
        <f t="shared" si="3"/>
        <v>1.9410755512742883</v>
      </c>
      <c r="F46" s="24">
        <f t="shared" si="4"/>
        <v>190.4398321241713</v>
      </c>
      <c r="G46" s="24">
        <f t="shared" si="5"/>
        <v>0.5118042851508047</v>
      </c>
      <c r="H46" s="24">
        <f t="shared" si="6"/>
        <v>0.3622858697893854</v>
      </c>
      <c r="J46" s="24">
        <f t="shared" si="7"/>
        <v>134.49529356145737</v>
      </c>
      <c r="K46" s="24">
        <f t="shared" si="20"/>
        <v>1.4380578532915367</v>
      </c>
      <c r="L46" s="28">
        <f t="shared" si="21"/>
        <v>-1.2155587228439135</v>
      </c>
      <c r="M46" s="24">
        <v>120</v>
      </c>
      <c r="N46" s="11">
        <v>16000</v>
      </c>
      <c r="O46" s="24">
        <f t="shared" si="8"/>
        <v>407969.1171148301</v>
      </c>
      <c r="P46" s="24">
        <f t="shared" si="9"/>
        <v>429110.4528676512</v>
      </c>
      <c r="Q46" s="24">
        <f t="shared" si="10"/>
        <v>-21141.33575282106</v>
      </c>
      <c r="R46" s="26">
        <f t="shared" si="11"/>
        <v>0.47265334429975</v>
      </c>
      <c r="S46" s="24">
        <f t="shared" si="12"/>
        <v>155</v>
      </c>
      <c r="T46" s="27">
        <f t="shared" si="13"/>
        <v>666.3034531453382</v>
      </c>
      <c r="U46" s="24">
        <f t="shared" si="14"/>
        <v>17204.50832343457</v>
      </c>
      <c r="V46" s="27">
        <f t="shared" si="15"/>
        <v>446314.96119108575</v>
      </c>
      <c r="W46" s="27">
        <f t="shared" si="16"/>
        <v>-38345.84407625563</v>
      </c>
      <c r="X46" s="24">
        <f t="shared" si="17"/>
        <v>25600</v>
      </c>
      <c r="Y46" s="24">
        <f t="shared" si="22"/>
        <v>3262.2941592690713</v>
      </c>
      <c r="Z46" s="24">
        <f t="shared" si="23"/>
        <v>-19165.422038127814</v>
      </c>
      <c r="AA46" s="24">
        <f t="shared" si="24"/>
        <v>0</v>
      </c>
      <c r="AB46" s="33">
        <f t="shared" si="18"/>
        <v>1470403757.9205089</v>
      </c>
    </row>
    <row r="47" spans="1:28" ht="12.75">
      <c r="A47" s="24">
        <f t="shared" si="19"/>
        <v>160</v>
      </c>
      <c r="B47" s="24">
        <f t="shared" si="0"/>
        <v>2.792526803190927</v>
      </c>
      <c r="C47" s="26">
        <f t="shared" si="1"/>
        <v>0.9601106942821128</v>
      </c>
      <c r="D47" s="26">
        <f t="shared" si="2"/>
        <v>22.42779771934582</v>
      </c>
      <c r="E47" s="24">
        <f t="shared" si="3"/>
        <v>1.9876477356387063</v>
      </c>
      <c r="F47" s="24">
        <f t="shared" si="4"/>
        <v>193.29177821609952</v>
      </c>
      <c r="G47" s="24">
        <f t="shared" si="5"/>
        <v>0.4969431558642131</v>
      </c>
      <c r="H47" s="24">
        <f t="shared" si="6"/>
        <v>0.30673046226749534</v>
      </c>
      <c r="J47" s="24">
        <f t="shared" si="7"/>
        <v>136.60156141524598</v>
      </c>
      <c r="K47" s="24">
        <f t="shared" si="20"/>
        <v>1.2637607122731653</v>
      </c>
      <c r="L47" s="28">
        <f t="shared" si="21"/>
        <v>-1.2549024039642767</v>
      </c>
      <c r="M47" s="24">
        <v>120</v>
      </c>
      <c r="N47" s="11">
        <v>16000</v>
      </c>
      <c r="O47" s="24">
        <f t="shared" si="8"/>
        <v>354359.2039656639</v>
      </c>
      <c r="P47" s="24">
        <f t="shared" si="9"/>
        <v>347274.19962364313</v>
      </c>
      <c r="Q47" s="24">
        <f t="shared" si="10"/>
        <v>7085.00434202078</v>
      </c>
      <c r="R47" s="26">
        <f t="shared" si="11"/>
        <v>0.4800553471410564</v>
      </c>
      <c r="S47" s="24">
        <f t="shared" si="12"/>
        <v>160</v>
      </c>
      <c r="T47" s="27">
        <f t="shared" si="13"/>
        <v>665.4573888140353</v>
      </c>
      <c r="U47" s="24">
        <f t="shared" si="14"/>
        <v>14924.743707165244</v>
      </c>
      <c r="V47" s="27">
        <f t="shared" si="15"/>
        <v>362198.94333080837</v>
      </c>
      <c r="W47" s="27">
        <f t="shared" si="16"/>
        <v>-7839.739365144458</v>
      </c>
      <c r="X47" s="24">
        <f t="shared" si="17"/>
        <v>25600</v>
      </c>
      <c r="Y47" s="24">
        <f t="shared" si="22"/>
        <v>2808.3571383848116</v>
      </c>
      <c r="Z47" s="24">
        <f t="shared" si="23"/>
        <v>-3912.369682572229</v>
      </c>
      <c r="AA47" s="24">
        <f t="shared" si="24"/>
        <v>0</v>
      </c>
      <c r="AB47" s="33">
        <f t="shared" si="18"/>
        <v>61461513.313395634</v>
      </c>
    </row>
    <row r="48" spans="1:28" ht="12.75">
      <c r="A48" s="24">
        <f t="shared" si="19"/>
        <v>165</v>
      </c>
      <c r="B48" s="24">
        <f t="shared" si="0"/>
        <v>2.8797932657906435</v>
      </c>
      <c r="C48" s="26">
        <f t="shared" si="1"/>
        <v>0.9727864216239441</v>
      </c>
      <c r="D48" s="26">
        <f t="shared" si="2"/>
        <v>18.87458382183252</v>
      </c>
      <c r="E48" s="24">
        <f t="shared" si="3"/>
        <v>2.0323721638304098</v>
      </c>
      <c r="F48" s="24">
        <f t="shared" si="4"/>
        <v>195.93793046387424</v>
      </c>
      <c r="G48" s="24">
        <f t="shared" si="5"/>
        <v>0.4842185172179456</v>
      </c>
      <c r="H48" s="24">
        <f t="shared" si="6"/>
        <v>0.251463789213215</v>
      </c>
      <c r="J48" s="24">
        <f t="shared" si="7"/>
        <v>138.4050244505815</v>
      </c>
      <c r="K48" s="24">
        <f t="shared" si="20"/>
        <v>1.082077821201307</v>
      </c>
      <c r="L48" s="28">
        <f t="shared" si="21"/>
        <v>-1.3080782360120513</v>
      </c>
      <c r="M48" s="24">
        <v>122</v>
      </c>
      <c r="N48" s="11">
        <v>16000</v>
      </c>
      <c r="O48" s="24">
        <f t="shared" si="8"/>
        <v>298218.4243849538</v>
      </c>
      <c r="P48" s="24">
        <f t="shared" si="9"/>
        <v>262794.98003060435</v>
      </c>
      <c r="Q48" s="24">
        <f t="shared" si="10"/>
        <v>35423.444354349456</v>
      </c>
      <c r="R48" s="26">
        <f t="shared" si="11"/>
        <v>0.48639321081197207</v>
      </c>
      <c r="S48" s="24">
        <f t="shared" si="12"/>
        <v>165</v>
      </c>
      <c r="T48" s="27">
        <f t="shared" si="13"/>
        <v>664.3138716468102</v>
      </c>
      <c r="U48" s="24">
        <f t="shared" si="14"/>
        <v>12538.64785440381</v>
      </c>
      <c r="V48" s="27">
        <f t="shared" si="15"/>
        <v>275333.6278850082</v>
      </c>
      <c r="W48" s="27">
        <f t="shared" si="16"/>
        <v>22884.79649994563</v>
      </c>
      <c r="X48" s="24">
        <f t="shared" si="17"/>
        <v>25600</v>
      </c>
      <c r="Y48" s="24">
        <f t="shared" si="22"/>
        <v>2404.6173804473483</v>
      </c>
      <c r="Z48" s="24">
        <f t="shared" si="23"/>
        <v>0</v>
      </c>
      <c r="AA48" s="24">
        <f t="shared" si="24"/>
        <v>7522.528567400586</v>
      </c>
      <c r="AB48" s="33">
        <f t="shared" si="18"/>
        <v>523713910.8439238</v>
      </c>
    </row>
    <row r="49" spans="1:28" ht="12.75">
      <c r="A49" s="24">
        <f t="shared" si="19"/>
        <v>170</v>
      </c>
      <c r="B49" s="24">
        <f t="shared" si="0"/>
        <v>2.9670597283903604</v>
      </c>
      <c r="C49" s="26">
        <f t="shared" si="1"/>
        <v>0.983223644329536</v>
      </c>
      <c r="D49" s="26">
        <f t="shared" si="2"/>
        <v>15.12208704919731</v>
      </c>
      <c r="E49" s="24">
        <f t="shared" si="3"/>
        <v>2.0748693703978</v>
      </c>
      <c r="F49" s="24">
        <f t="shared" si="4"/>
        <v>198.36676697324128</v>
      </c>
      <c r="G49" s="24">
        <f t="shared" si="5"/>
        <v>0.4737410208331041</v>
      </c>
      <c r="H49" s="24">
        <f t="shared" si="6"/>
        <v>0.19621703679604696</v>
      </c>
      <c r="J49" s="24">
        <f t="shared" si="7"/>
        <v>139.89000001320508</v>
      </c>
      <c r="K49" s="24">
        <f t="shared" si="20"/>
        <v>0.8909853375741533</v>
      </c>
      <c r="L49" s="28">
        <f t="shared" si="21"/>
        <v>-1.3758253043171962</v>
      </c>
      <c r="M49" s="24">
        <v>125</v>
      </c>
      <c r="N49" s="11">
        <v>16000</v>
      </c>
      <c r="O49" s="24">
        <f t="shared" si="8"/>
        <v>238928.9753773175</v>
      </c>
      <c r="P49" s="24">
        <f t="shared" si="9"/>
        <v>176315.73195958475</v>
      </c>
      <c r="Q49" s="24">
        <f t="shared" si="10"/>
        <v>62613.24341773274</v>
      </c>
      <c r="R49" s="26">
        <f t="shared" si="11"/>
        <v>0.491611822164768</v>
      </c>
      <c r="S49" s="24">
        <f t="shared" si="12"/>
        <v>170</v>
      </c>
      <c r="T49" s="27">
        <f t="shared" si="13"/>
        <v>662.857008018113</v>
      </c>
      <c r="U49" s="24">
        <f t="shared" si="14"/>
        <v>10023.781376420384</v>
      </c>
      <c r="V49" s="27">
        <f t="shared" si="15"/>
        <v>186339.51333600513</v>
      </c>
      <c r="W49" s="27">
        <f t="shared" si="16"/>
        <v>52589.46204131236</v>
      </c>
      <c r="X49" s="24">
        <f t="shared" si="17"/>
        <v>25600</v>
      </c>
      <c r="Y49" s="24">
        <f t="shared" si="22"/>
        <v>1979.967416831452</v>
      </c>
      <c r="Z49" s="24">
        <f t="shared" si="23"/>
        <v>0</v>
      </c>
      <c r="AA49" s="24">
        <f t="shared" si="24"/>
        <v>37737.129270629</v>
      </c>
      <c r="AB49" s="33">
        <f t="shared" si="18"/>
        <v>2765651517.794634</v>
      </c>
    </row>
    <row r="50" spans="1:28" ht="12.75">
      <c r="A50" s="24">
        <f t="shared" si="19"/>
        <v>175</v>
      </c>
      <c r="B50" s="24">
        <f t="shared" si="0"/>
        <v>3.0543261909900763</v>
      </c>
      <c r="C50" s="26">
        <f t="shared" si="1"/>
        <v>0.991288316321287</v>
      </c>
      <c r="D50" s="26">
        <f t="shared" si="2"/>
        <v>11.132169533189767</v>
      </c>
      <c r="E50" s="24">
        <f t="shared" si="3"/>
        <v>2.114730344474947</v>
      </c>
      <c r="F50" s="24">
        <f t="shared" si="4"/>
        <v>200.56801283604082</v>
      </c>
      <c r="G50" s="24">
        <f t="shared" si="5"/>
        <v>0.46564523002534125</v>
      </c>
      <c r="H50" s="24">
        <f t="shared" si="6"/>
        <v>0.14071575746571519</v>
      </c>
      <c r="J50" s="24">
        <f t="shared" si="7"/>
        <v>141.0374164443893</v>
      </c>
      <c r="K50" s="24">
        <f t="shared" si="20"/>
        <v>0.688449858710527</v>
      </c>
      <c r="L50" s="28">
        <f t="shared" si="21"/>
        <v>-1.4582124401411298</v>
      </c>
      <c r="M50" s="24">
        <v>125</v>
      </c>
      <c r="N50" s="11">
        <v>16000</v>
      </c>
      <c r="O50" s="24">
        <f t="shared" si="8"/>
        <v>175888.2786243983</v>
      </c>
      <c r="P50" s="24">
        <f t="shared" si="9"/>
        <v>88494.61470600344</v>
      </c>
      <c r="Q50" s="24">
        <f t="shared" si="10"/>
        <v>87393.66391839487</v>
      </c>
      <c r="R50" s="26">
        <f t="shared" si="11"/>
        <v>0.4956441581606435</v>
      </c>
      <c r="S50" s="24">
        <f t="shared" si="12"/>
        <v>175</v>
      </c>
      <c r="T50" s="27">
        <f t="shared" si="13"/>
        <v>661.0853177493357</v>
      </c>
      <c r="U50" s="24">
        <f t="shared" si="14"/>
        <v>7359.313833088231</v>
      </c>
      <c r="V50" s="27">
        <f t="shared" si="15"/>
        <v>95853.92853909168</v>
      </c>
      <c r="W50" s="27">
        <f t="shared" si="16"/>
        <v>80034.35008530664</v>
      </c>
      <c r="X50" s="24">
        <f t="shared" si="17"/>
        <v>25600</v>
      </c>
      <c r="Y50" s="24">
        <f t="shared" si="22"/>
        <v>1529.8885749122821</v>
      </c>
      <c r="Z50" s="24">
        <f t="shared" si="23"/>
        <v>0</v>
      </c>
      <c r="AA50" s="24">
        <f t="shared" si="24"/>
        <v>66311.90606330949</v>
      </c>
      <c r="AB50" s="33">
        <f t="shared" si="18"/>
        <v>6405497193.577422</v>
      </c>
    </row>
    <row r="51" spans="1:28" ht="12.75">
      <c r="A51" s="24">
        <f t="shared" si="19"/>
        <v>180</v>
      </c>
      <c r="B51" s="24">
        <f t="shared" si="0"/>
        <v>3.141592653589793</v>
      </c>
      <c r="C51" s="26">
        <f t="shared" si="1"/>
        <v>0.9968240581165818</v>
      </c>
      <c r="D51" s="26">
        <f t="shared" si="2"/>
        <v>6.870748359520769</v>
      </c>
      <c r="E51" s="24">
        <f t="shared" si="3"/>
        <v>2.1515183371626287</v>
      </c>
      <c r="F51" s="24">
        <f t="shared" si="4"/>
        <v>202.53258976416106</v>
      </c>
      <c r="G51" s="24">
        <f t="shared" si="5"/>
        <v>0.46008812769230956</v>
      </c>
      <c r="H51" s="24">
        <f t="shared" si="6"/>
        <v>0.08468018522064824</v>
      </c>
      <c r="J51" s="24">
        <f t="shared" si="7"/>
        <v>141.8250245580499</v>
      </c>
      <c r="K51" s="24">
        <f t="shared" si="20"/>
        <v>0.4725648681963662</v>
      </c>
      <c r="L51" s="28">
        <f t="shared" si="21"/>
        <v>-1.5543260893044082</v>
      </c>
      <c r="M51" s="24">
        <v>125</v>
      </c>
      <c r="N51" s="11">
        <v>16000</v>
      </c>
      <c r="O51" s="24">
        <f t="shared" si="8"/>
        <v>108557.82408042814</v>
      </c>
      <c r="P51" s="24">
        <f t="shared" si="9"/>
        <v>1.243968980778457E-10</v>
      </c>
      <c r="Q51" s="24">
        <f t="shared" si="10"/>
        <v>108557.824080428</v>
      </c>
      <c r="R51" s="26">
        <f t="shared" si="11"/>
        <v>0.4984120290582909</v>
      </c>
      <c r="S51" s="24">
        <f t="shared" si="12"/>
        <v>180</v>
      </c>
      <c r="T51" s="27">
        <f t="shared" si="13"/>
        <v>659.0184463231561</v>
      </c>
      <c r="U51" s="24">
        <f t="shared" si="14"/>
        <v>4527.949908968751</v>
      </c>
      <c r="V51" s="27">
        <f t="shared" si="15"/>
        <v>4527.949908968875</v>
      </c>
      <c r="W51" s="27">
        <f t="shared" si="16"/>
        <v>104029.87417145926</v>
      </c>
      <c r="X51" s="24">
        <f t="shared" si="17"/>
        <v>25600</v>
      </c>
      <c r="Y51" s="24">
        <f t="shared" si="22"/>
        <v>1050.1441515474805</v>
      </c>
      <c r="Z51" s="24">
        <f t="shared" si="23"/>
        <v>0</v>
      </c>
      <c r="AA51" s="24">
        <f t="shared" si="24"/>
        <v>92032.11212838296</v>
      </c>
      <c r="AB51" s="33">
        <f t="shared" si="18"/>
        <v>10822214720.129646</v>
      </c>
    </row>
    <row r="52" spans="1:28" ht="12.75">
      <c r="A52" s="24">
        <f t="shared" si="19"/>
        <v>185</v>
      </c>
      <c r="B52" s="24">
        <f t="shared" si="0"/>
        <v>3.2288591161895095</v>
      </c>
      <c r="C52" s="26">
        <f t="shared" si="1"/>
        <v>0.999655864759536</v>
      </c>
      <c r="D52" s="26">
        <f t="shared" si="2"/>
        <v>2.3119558189758767</v>
      </c>
      <c r="E52" s="24">
        <f t="shared" si="3"/>
        <v>2.18477445061008</v>
      </c>
      <c r="F52" s="24">
        <f t="shared" si="4"/>
        <v>204.25257321382037</v>
      </c>
      <c r="G52" s="24">
        <f t="shared" si="5"/>
        <v>0.45724539407427267</v>
      </c>
      <c r="H52" s="24">
        <f t="shared" si="6"/>
        <v>0.027827102450346253</v>
      </c>
      <c r="J52" s="24">
        <f t="shared" si="7"/>
        <v>142.22792519373425</v>
      </c>
      <c r="K52" s="24">
        <f t="shared" si="20"/>
        <v>0.24174038141060805</v>
      </c>
      <c r="L52" s="28">
        <f t="shared" si="21"/>
        <v>-1.6618872901118737</v>
      </c>
      <c r="M52" s="24">
        <v>52</v>
      </c>
      <c r="N52" s="11">
        <v>17000</v>
      </c>
      <c r="O52" s="24">
        <f t="shared" si="8"/>
        <v>38840.85775879473</v>
      </c>
      <c r="P52" s="24">
        <f t="shared" si="9"/>
        <v>-88494.61470600318</v>
      </c>
      <c r="Q52" s="24">
        <f t="shared" si="10"/>
        <v>127335.4724647979</v>
      </c>
      <c r="R52" s="26">
        <f t="shared" si="11"/>
        <v>0.499827932379768</v>
      </c>
      <c r="S52" s="24">
        <f t="shared" si="12"/>
        <v>185</v>
      </c>
      <c r="T52" s="27">
        <f t="shared" si="13"/>
        <v>656.7054015636461</v>
      </c>
      <c r="U52" s="24">
        <f t="shared" si="14"/>
        <v>1518.2738744979613</v>
      </c>
      <c r="V52" s="27">
        <f t="shared" si="15"/>
        <v>-86976.34083150522</v>
      </c>
      <c r="W52" s="27">
        <f t="shared" si="16"/>
        <v>125817.19859029996</v>
      </c>
      <c r="X52" s="24">
        <f t="shared" si="17"/>
        <v>25600</v>
      </c>
      <c r="Y52" s="24">
        <f t="shared" si="22"/>
        <v>553.9883740659768</v>
      </c>
      <c r="Z52" s="24">
        <f t="shared" si="23"/>
        <v>0</v>
      </c>
      <c r="AA52" s="24">
        <f t="shared" si="24"/>
        <v>114923.53638087961</v>
      </c>
      <c r="AB52" s="33">
        <f t="shared" si="18"/>
        <v>15829967461.110977</v>
      </c>
    </row>
    <row r="53" spans="1:28" ht="12.75">
      <c r="A53" s="24">
        <f t="shared" si="19"/>
        <v>190</v>
      </c>
      <c r="B53" s="24">
        <f t="shared" si="0"/>
        <v>3.3161255787892263</v>
      </c>
      <c r="C53" s="26">
        <f t="shared" si="1"/>
        <v>0.9995966774478737</v>
      </c>
      <c r="D53" s="26">
        <f t="shared" si="2"/>
        <v>-2.556725926951294</v>
      </c>
      <c r="E53" s="24">
        <f t="shared" si="3"/>
        <v>2.214028136899459</v>
      </c>
      <c r="F53" s="24">
        <f t="shared" si="4"/>
        <v>205.72115630891145</v>
      </c>
      <c r="G53" s="24">
        <f t="shared" si="5"/>
        <v>0.4573048097695646</v>
      </c>
      <c r="H53" s="24">
        <f t="shared" si="6"/>
        <v>-0.030126258164699493</v>
      </c>
      <c r="J53" s="24">
        <f t="shared" si="7"/>
        <v>142.2195042072405</v>
      </c>
      <c r="K53" s="24">
        <f t="shared" si="20"/>
        <v>-0.005052591896247804</v>
      </c>
      <c r="L53" s="28">
        <f t="shared" si="21"/>
        <v>-1.7768570022133647</v>
      </c>
      <c r="M53" s="24">
        <v>-20</v>
      </c>
      <c r="N53" s="11">
        <v>16000</v>
      </c>
      <c r="O53" s="24">
        <f t="shared" si="8"/>
        <v>-40396.26964583045</v>
      </c>
      <c r="P53" s="24">
        <f t="shared" si="9"/>
        <v>-176315.73195958495</v>
      </c>
      <c r="Q53" s="24">
        <f t="shared" si="10"/>
        <v>135919.4623137545</v>
      </c>
      <c r="R53" s="26">
        <f>1-C53*0.5</f>
        <v>0.5002016612760631</v>
      </c>
      <c r="S53" s="24">
        <f t="shared" si="12"/>
        <v>190</v>
      </c>
      <c r="T53" s="27">
        <f t="shared" si="13"/>
        <v>654.2330408231337</v>
      </c>
      <c r="U53" s="24">
        <f t="shared" si="14"/>
        <v>-1672.6945777406904</v>
      </c>
      <c r="V53" s="27">
        <f t="shared" si="15"/>
        <v>-177988.42653732563</v>
      </c>
      <c r="W53" s="27">
        <f t="shared" si="16"/>
        <v>137592.1568914952</v>
      </c>
      <c r="X53" s="24">
        <f t="shared" si="17"/>
        <v>-55344.30843200023</v>
      </c>
      <c r="Y53" s="24">
        <f t="shared" si="22"/>
        <v>-11.578856428901219</v>
      </c>
      <c r="Z53" s="24">
        <f t="shared" si="23"/>
        <v>0</v>
      </c>
      <c r="AA53" s="24">
        <f t="shared" si="24"/>
        <v>131704.67774089758</v>
      </c>
      <c r="AB53" s="33">
        <f t="shared" si="18"/>
        <v>18931601638.05383</v>
      </c>
    </row>
    <row r="54" spans="1:28" ht="12.75">
      <c r="A54" s="24">
        <f t="shared" si="19"/>
        <v>195</v>
      </c>
      <c r="B54" s="24">
        <f t="shared" si="0"/>
        <v>3.4033920413889422</v>
      </c>
      <c r="C54" s="26">
        <f t="shared" si="1"/>
        <v>0.9964572934432285</v>
      </c>
      <c r="D54" s="26">
        <f t="shared" si="2"/>
        <v>-7.728833556109847</v>
      </c>
      <c r="E54" s="24">
        <f t="shared" si="3"/>
        <v>2.2388134337712895</v>
      </c>
      <c r="F54" s="24">
        <f t="shared" si="4"/>
        <v>206.93261991851128</v>
      </c>
      <c r="G54" s="24">
        <f t="shared" si="5"/>
        <v>0.4604563075853273</v>
      </c>
      <c r="H54" s="24">
        <f t="shared" si="6"/>
        <v>-0.0894559260768224</v>
      </c>
      <c r="J54" s="24">
        <f t="shared" si="7"/>
        <v>141.7728424218125</v>
      </c>
      <c r="K54" s="24">
        <f t="shared" si="20"/>
        <v>-0.2679970712568036</v>
      </c>
      <c r="L54" s="28">
        <f t="shared" si="21"/>
        <v>-1.8931444160860835</v>
      </c>
      <c r="M54" s="24">
        <v>-40</v>
      </c>
      <c r="N54" s="11">
        <v>16000</v>
      </c>
      <c r="O54" s="24">
        <f t="shared" si="8"/>
        <v>-122115.57018653558</v>
      </c>
      <c r="P54" s="24">
        <f t="shared" si="9"/>
        <v>-262794.9800306041</v>
      </c>
      <c r="Q54" s="24">
        <f t="shared" si="10"/>
        <v>140679.40984406852</v>
      </c>
      <c r="R54" s="26">
        <f>1-C54*0.5</f>
        <v>0.5017713532783857</v>
      </c>
      <c r="S54" s="24">
        <f t="shared" si="12"/>
        <v>195</v>
      </c>
      <c r="T54" s="27">
        <f t="shared" si="13"/>
        <v>651.7323436271556</v>
      </c>
      <c r="U54" s="24">
        <f t="shared" si="14"/>
        <v>-5037.130807027674</v>
      </c>
      <c r="V54" s="27">
        <f t="shared" si="15"/>
        <v>-267832.1108376318</v>
      </c>
      <c r="W54" s="27">
        <f t="shared" si="16"/>
        <v>145716.5406510962</v>
      </c>
      <c r="X54" s="24">
        <f t="shared" si="17"/>
        <v>-6549.77521299163</v>
      </c>
      <c r="Y54" s="24">
        <f t="shared" si="22"/>
        <v>-595.5490472373413</v>
      </c>
      <c r="Z54" s="24">
        <f t="shared" si="23"/>
        <v>0</v>
      </c>
      <c r="AA54" s="24">
        <f t="shared" si="24"/>
        <v>141654.34877129568</v>
      </c>
      <c r="AB54" s="33">
        <f t="shared" si="18"/>
        <v>21233310219.322575</v>
      </c>
    </row>
    <row r="55" spans="1:28" ht="12.75">
      <c r="A55" s="24">
        <f t="shared" si="19"/>
        <v>200</v>
      </c>
      <c r="B55" s="24">
        <f t="shared" si="0"/>
        <v>3.490658503988659</v>
      </c>
      <c r="C55" s="26">
        <f t="shared" si="1"/>
        <v>0.9900596455143003</v>
      </c>
      <c r="D55" s="26">
        <f t="shared" si="2"/>
        <v>-13.173772708624385</v>
      </c>
      <c r="E55" s="24">
        <f t="shared" si="3"/>
        <v>2.258690992817442</v>
      </c>
      <c r="F55" s="24">
        <f t="shared" si="4"/>
        <v>207.88230831169216</v>
      </c>
      <c r="G55" s="24">
        <f t="shared" si="5"/>
        <v>0.46687864185351535</v>
      </c>
      <c r="H55" s="24">
        <f t="shared" si="6"/>
        <v>-0.1504224953621982</v>
      </c>
      <c r="J55" s="24">
        <f t="shared" si="7"/>
        <v>140.8626049859822</v>
      </c>
      <c r="K55" s="24">
        <f t="shared" si="20"/>
        <v>-0.5461424614981865</v>
      </c>
      <c r="L55" s="28">
        <f t="shared" si="21"/>
        <v>-2.0025877465695276</v>
      </c>
      <c r="M55" s="24">
        <v>-60</v>
      </c>
      <c r="N55" s="11">
        <v>16000</v>
      </c>
      <c r="O55" s="24">
        <f t="shared" si="8"/>
        <v>-208145.6087962653</v>
      </c>
      <c r="P55" s="24">
        <f t="shared" si="9"/>
        <v>-347274.1996236429</v>
      </c>
      <c r="Q55" s="24">
        <f t="shared" si="10"/>
        <v>139128.5908273776</v>
      </c>
      <c r="R55" s="26">
        <f aca="true" t="shared" si="25" ref="R55:R87">1-C55*0.5</f>
        <v>0.5049701772428499</v>
      </c>
      <c r="S55" s="24">
        <f t="shared" si="12"/>
        <v>200</v>
      </c>
      <c r="T55" s="27">
        <f t="shared" si="13"/>
        <v>649.3788246989764</v>
      </c>
      <c r="U55" s="24">
        <f t="shared" si="14"/>
        <v>-8554.769038377954</v>
      </c>
      <c r="V55" s="27">
        <f t="shared" si="15"/>
        <v>-355828.96866202087</v>
      </c>
      <c r="W55" s="27">
        <f t="shared" si="16"/>
        <v>147683.35986575557</v>
      </c>
      <c r="X55" s="24">
        <f t="shared" si="17"/>
        <v>2919.719662277531</v>
      </c>
      <c r="Y55" s="24">
        <f t="shared" si="22"/>
        <v>-1213.6499144404145</v>
      </c>
      <c r="Z55" s="24">
        <f t="shared" si="23"/>
        <v>0</v>
      </c>
      <c r="AA55" s="24">
        <f t="shared" si="24"/>
        <v>146699.9502584259</v>
      </c>
      <c r="AB55" s="33">
        <f t="shared" si="18"/>
        <v>21810374781.238262</v>
      </c>
    </row>
    <row r="56" spans="1:28" ht="12.75">
      <c r="A56" s="24">
        <f t="shared" si="19"/>
        <v>205</v>
      </c>
      <c r="B56" s="24">
        <f t="shared" si="0"/>
        <v>3.5779249665883754</v>
      </c>
      <c r="C56" s="26">
        <f t="shared" si="1"/>
        <v>0.9802527342684348</v>
      </c>
      <c r="D56" s="26">
        <f t="shared" si="2"/>
        <v>-18.833581388047214</v>
      </c>
      <c r="E56" s="24">
        <f t="shared" si="3"/>
        <v>2.2732746648006006</v>
      </c>
      <c r="F56" s="24">
        <f t="shared" si="4"/>
        <v>208.56660989314375</v>
      </c>
      <c r="G56" s="24">
        <f t="shared" si="5"/>
        <v>0.4767233946218898</v>
      </c>
      <c r="H56" s="24">
        <f t="shared" si="6"/>
        <v>-0.21326053321038207</v>
      </c>
      <c r="J56" s="24">
        <f t="shared" si="7"/>
        <v>139.46730817612047</v>
      </c>
      <c r="K56" s="24">
        <f t="shared" si="20"/>
        <v>-0.8371780859170315</v>
      </c>
      <c r="L56" s="28">
        <f t="shared" si="21"/>
        <v>-2.095394695452622</v>
      </c>
      <c r="M56" s="24">
        <v>-45</v>
      </c>
      <c r="N56" s="11">
        <v>16000</v>
      </c>
      <c r="O56" s="24">
        <f t="shared" si="8"/>
        <v>-297570.585931146</v>
      </c>
      <c r="P56" s="24">
        <f t="shared" si="9"/>
        <v>-429110.452867651</v>
      </c>
      <c r="Q56" s="24">
        <f t="shared" si="10"/>
        <v>131539.86693650502</v>
      </c>
      <c r="R56" s="26">
        <f t="shared" si="25"/>
        <v>0.5098736328657826</v>
      </c>
      <c r="S56" s="24">
        <f t="shared" si="12"/>
        <v>205</v>
      </c>
      <c r="T56" s="27">
        <f t="shared" si="13"/>
        <v>647.3830620527001</v>
      </c>
      <c r="U56" s="24">
        <f t="shared" si="14"/>
        <v>-12192.541588412747</v>
      </c>
      <c r="V56" s="27">
        <f t="shared" si="15"/>
        <v>-441302.9944560638</v>
      </c>
      <c r="W56" s="27">
        <f t="shared" si="16"/>
        <v>143732.4085249178</v>
      </c>
      <c r="X56" s="24">
        <f t="shared" si="17"/>
        <v>6640.782130426296</v>
      </c>
      <c r="Y56" s="24">
        <f t="shared" si="22"/>
        <v>-1860.3957464822922</v>
      </c>
      <c r="Z56" s="24">
        <f t="shared" si="23"/>
        <v>0</v>
      </c>
      <c r="AA56" s="24">
        <f t="shared" si="24"/>
        <v>145707.88419533666</v>
      </c>
      <c r="AB56" s="33">
        <f t="shared" si="18"/>
        <v>20659005260.37386</v>
      </c>
    </row>
    <row r="57" spans="1:28" ht="12.75">
      <c r="A57" s="24">
        <f t="shared" si="19"/>
        <v>210</v>
      </c>
      <c r="B57" s="24">
        <f t="shared" si="0"/>
        <v>3.6651914291880923</v>
      </c>
      <c r="C57" s="26">
        <f t="shared" si="1"/>
        <v>0.9669295562078952</v>
      </c>
      <c r="D57" s="26">
        <f t="shared" si="2"/>
        <v>-24.623158689388976</v>
      </c>
      <c r="E57" s="24">
        <f t="shared" si="3"/>
        <v>2.282259788476113</v>
      </c>
      <c r="F57" s="24">
        <f t="shared" si="4"/>
        <v>208.9829426099121</v>
      </c>
      <c r="G57" s="24">
        <f t="shared" si="5"/>
        <v>0.4900979822781555</v>
      </c>
      <c r="H57" s="24">
        <f t="shared" si="6"/>
        <v>-0.2781672844783203</v>
      </c>
      <c r="J57" s="24">
        <f t="shared" si="7"/>
        <v>137.57172786759793</v>
      </c>
      <c r="K57" s="24">
        <f t="shared" si="20"/>
        <v>-1.1373481851135239</v>
      </c>
      <c r="L57" s="28">
        <f t="shared" si="21"/>
        <v>-2.161160974178965</v>
      </c>
      <c r="M57" s="24">
        <v>-30</v>
      </c>
      <c r="N57" s="11">
        <v>16000</v>
      </c>
      <c r="O57" s="24">
        <f t="shared" si="8"/>
        <v>-389045.90729234583</v>
      </c>
      <c r="P57" s="24">
        <f t="shared" si="9"/>
        <v>-507680.916461361</v>
      </c>
      <c r="Q57" s="24">
        <f t="shared" si="10"/>
        <v>118635.00916901516</v>
      </c>
      <c r="R57" s="26">
        <f t="shared" si="25"/>
        <v>0.5165352218960524</v>
      </c>
      <c r="S57" s="24">
        <f t="shared" si="12"/>
        <v>210</v>
      </c>
      <c r="T57" s="27">
        <f t="shared" si="13"/>
        <v>645.9687942198898</v>
      </c>
      <c r="U57" s="24">
        <f t="shared" si="14"/>
        <v>-15905.792128469599</v>
      </c>
      <c r="V57" s="27">
        <f t="shared" si="15"/>
        <v>-523586.7085898306</v>
      </c>
      <c r="W57" s="27">
        <f t="shared" si="16"/>
        <v>134540.80129748478</v>
      </c>
      <c r="X57" s="24">
        <f t="shared" si="17"/>
        <v>8468.098790979388</v>
      </c>
      <c r="Y57" s="24">
        <f t="shared" si="22"/>
        <v>-2527.4404113633864</v>
      </c>
      <c r="Z57" s="24">
        <f t="shared" si="23"/>
        <v>0</v>
      </c>
      <c r="AA57" s="24">
        <f t="shared" si="24"/>
        <v>139136.60491120128</v>
      </c>
      <c r="AB57" s="33">
        <f t="shared" si="18"/>
        <v>18101227213.769283</v>
      </c>
    </row>
    <row r="58" spans="1:28" ht="12.75">
      <c r="A58" s="24">
        <f t="shared" si="19"/>
        <v>215</v>
      </c>
      <c r="B58" s="24">
        <f t="shared" si="0"/>
        <v>3.752457891787808</v>
      </c>
      <c r="C58" s="26">
        <f t="shared" si="1"/>
        <v>0.9500425360779245</v>
      </c>
      <c r="D58" s="26">
        <f t="shared" si="2"/>
        <v>-30.43500753269816</v>
      </c>
      <c r="E58" s="24">
        <f t="shared" si="3"/>
        <v>2.2854488962884205</v>
      </c>
      <c r="F58" s="24">
        <f t="shared" si="4"/>
        <v>209.129743709189</v>
      </c>
      <c r="G58" s="24">
        <f t="shared" si="5"/>
        <v>0.5070501636537353</v>
      </c>
      <c r="H58" s="24">
        <f t="shared" si="6"/>
        <v>-0.34529245789014906</v>
      </c>
      <c r="J58" s="24">
        <f t="shared" si="7"/>
        <v>135.169095201237</v>
      </c>
      <c r="K58" s="24">
        <f t="shared" si="20"/>
        <v>-1.4415795998165493</v>
      </c>
      <c r="L58" s="28">
        <f t="shared" si="21"/>
        <v>-2.190401583420354</v>
      </c>
      <c r="M58" s="24">
        <v>-25</v>
      </c>
      <c r="N58" s="11">
        <v>16000</v>
      </c>
      <c r="O58" s="24">
        <f t="shared" si="8"/>
        <v>-480873.119016631</v>
      </c>
      <c r="P58" s="24">
        <f t="shared" si="9"/>
        <v>-582387.6217346811</v>
      </c>
      <c r="Q58" s="24">
        <f t="shared" si="10"/>
        <v>101514.50271805009</v>
      </c>
      <c r="R58" s="26">
        <f t="shared" si="25"/>
        <v>0.5249787319610377</v>
      </c>
      <c r="S58" s="24">
        <f t="shared" si="12"/>
        <v>215</v>
      </c>
      <c r="T58" s="27">
        <f t="shared" si="13"/>
        <v>645.3399909203456</v>
      </c>
      <c r="U58" s="24">
        <f t="shared" si="14"/>
        <v>-19640.92748481208</v>
      </c>
      <c r="V58" s="27">
        <f t="shared" si="15"/>
        <v>-602028.5492194932</v>
      </c>
      <c r="W58" s="27">
        <f t="shared" si="16"/>
        <v>121155.43020286219</v>
      </c>
      <c r="X58" s="24">
        <f t="shared" si="17"/>
        <v>9466.58384810626</v>
      </c>
      <c r="Y58" s="24">
        <f t="shared" si="22"/>
        <v>-3203.5102218145535</v>
      </c>
      <c r="Z58" s="24">
        <f t="shared" si="23"/>
        <v>0</v>
      </c>
      <c r="AA58" s="24">
        <f t="shared" si="24"/>
        <v>127848.11575017349</v>
      </c>
      <c r="AB58" s="33">
        <f t="shared" si="18"/>
        <v>14678638267.640612</v>
      </c>
    </row>
    <row r="59" spans="1:28" ht="12.75">
      <c r="A59" s="24">
        <f t="shared" si="19"/>
        <v>220</v>
      </c>
      <c r="B59" s="24">
        <f t="shared" si="0"/>
        <v>3.839724354387525</v>
      </c>
      <c r="C59" s="26">
        <f t="shared" si="1"/>
        <v>0.929614661209821</v>
      </c>
      <c r="D59" s="26">
        <f t="shared" si="2"/>
        <v>-36.1483613477236</v>
      </c>
      <c r="E59" s="24">
        <f t="shared" si="3"/>
        <v>2.28277001748848</v>
      </c>
      <c r="F59" s="24">
        <f t="shared" si="4"/>
        <v>209.00646361758206</v>
      </c>
      <c r="G59" s="24">
        <f t="shared" si="5"/>
        <v>0.5275568627170676</v>
      </c>
      <c r="H59" s="24">
        <f t="shared" si="6"/>
        <v>-0.41473110022647397</v>
      </c>
      <c r="J59" s="24">
        <f t="shared" si="7"/>
        <v>132.2626807429909</v>
      </c>
      <c r="K59" s="24">
        <f t="shared" si="20"/>
        <v>-1.7438486749476623</v>
      </c>
      <c r="L59" s="28">
        <f t="shared" si="21"/>
        <v>-2.176273155198279</v>
      </c>
      <c r="M59" s="24">
        <v>-20</v>
      </c>
      <c r="N59" s="11">
        <v>15000</v>
      </c>
      <c r="O59" s="24">
        <f t="shared" si="8"/>
        <v>-534995.7479463093</v>
      </c>
      <c r="P59" s="24">
        <f t="shared" si="9"/>
        <v>-652662.0055513396</v>
      </c>
      <c r="Q59" s="24">
        <f t="shared" si="10"/>
        <v>117666.25760503032</v>
      </c>
      <c r="R59" s="26">
        <f t="shared" si="25"/>
        <v>0.5351926693950895</v>
      </c>
      <c r="S59" s="24">
        <f t="shared" si="12"/>
        <v>220</v>
      </c>
      <c r="T59" s="27">
        <f t="shared" si="13"/>
        <v>645.6438150373492</v>
      </c>
      <c r="U59" s="24">
        <f t="shared" si="14"/>
        <v>-23338.96592789292</v>
      </c>
      <c r="V59" s="27">
        <f t="shared" si="15"/>
        <v>-676000.9714792325</v>
      </c>
      <c r="W59" s="27">
        <f t="shared" si="16"/>
        <v>141005.22353292326</v>
      </c>
      <c r="X59" s="24">
        <f t="shared" si="17"/>
        <v>10048.329445828429</v>
      </c>
      <c r="Y59" s="24">
        <f t="shared" si="22"/>
        <v>-3754.118675234551</v>
      </c>
      <c r="Z59" s="24">
        <f t="shared" si="23"/>
        <v>0</v>
      </c>
      <c r="AA59" s="24">
        <f t="shared" si="24"/>
        <v>131080.32686789273</v>
      </c>
      <c r="AB59" s="33">
        <f t="shared" si="18"/>
        <v>19882473063.569656</v>
      </c>
    </row>
    <row r="60" spans="1:28" ht="12.75">
      <c r="A60" s="24">
        <f t="shared" si="19"/>
        <v>225</v>
      </c>
      <c r="B60" s="24">
        <f t="shared" si="0"/>
        <v>3.9269908169872414</v>
      </c>
      <c r="C60" s="26">
        <f t="shared" si="1"/>
        <v>0.9057440488173815</v>
      </c>
      <c r="D60" s="26">
        <f t="shared" si="2"/>
        <v>-41.641091143726484</v>
      </c>
      <c r="E60" s="24">
        <f t="shared" si="3"/>
        <v>2.274283675652934</v>
      </c>
      <c r="F60" s="24">
        <f t="shared" si="4"/>
        <v>208.61356380274816</v>
      </c>
      <c r="G60" s="24">
        <f t="shared" si="5"/>
        <v>0.5515195836535234</v>
      </c>
      <c r="H60" s="24">
        <f t="shared" si="6"/>
        <v>-0.4865211837252805</v>
      </c>
      <c r="J60" s="24">
        <f t="shared" si="7"/>
        <v>128.86644430466706</v>
      </c>
      <c r="K60" s="24">
        <f t="shared" si="20"/>
        <v>-2.037741862994312</v>
      </c>
      <c r="L60" s="28">
        <f t="shared" si="21"/>
        <v>-2.115968546779507</v>
      </c>
      <c r="M60" s="24">
        <v>-12</v>
      </c>
      <c r="N60" s="11">
        <v>14000</v>
      </c>
      <c r="O60" s="24">
        <f t="shared" si="8"/>
        <v>-574647.0577834254</v>
      </c>
      <c r="P60" s="24">
        <f t="shared" si="9"/>
        <v>-717969.2374176588</v>
      </c>
      <c r="Q60" s="24">
        <f t="shared" si="10"/>
        <v>143322.17963423335</v>
      </c>
      <c r="R60" s="26">
        <f t="shared" si="25"/>
        <v>0.5471279755913092</v>
      </c>
      <c r="S60" s="24">
        <f t="shared" si="12"/>
        <v>225</v>
      </c>
      <c r="T60" s="27">
        <f t="shared" si="13"/>
        <v>646.9406326391444</v>
      </c>
      <c r="U60" s="24">
        <f t="shared" si="14"/>
        <v>-26939.313848306683</v>
      </c>
      <c r="V60" s="27">
        <f t="shared" si="15"/>
        <v>-744908.5512659654</v>
      </c>
      <c r="W60" s="27">
        <f t="shared" si="16"/>
        <v>170261.49348254</v>
      </c>
      <c r="X60" s="24">
        <f t="shared" si="17"/>
        <v>10404.068615766348</v>
      </c>
      <c r="Y60" s="24">
        <f t="shared" si="22"/>
        <v>-4103.785696307989</v>
      </c>
      <c r="Z60" s="24">
        <f t="shared" si="23"/>
        <v>0</v>
      </c>
      <c r="AA60" s="24">
        <f t="shared" si="24"/>
        <v>155633.35850773164</v>
      </c>
      <c r="AB60" s="33">
        <f t="shared" si="18"/>
        <v>28988976162.905014</v>
      </c>
    </row>
    <row r="61" spans="1:28" ht="12.75">
      <c r="A61" s="24">
        <f t="shared" si="19"/>
        <v>230</v>
      </c>
      <c r="B61" s="24">
        <f t="shared" si="0"/>
        <v>4.014257279586958</v>
      </c>
      <c r="C61" s="26">
        <f t="shared" si="1"/>
        <v>0.8786010254195499</v>
      </c>
      <c r="D61" s="26">
        <f t="shared" si="2"/>
        <v>-46.80173102431301</v>
      </c>
      <c r="E61" s="24">
        <f t="shared" si="3"/>
        <v>2.2601769924040536</v>
      </c>
      <c r="F61" s="24">
        <f t="shared" si="4"/>
        <v>207.95251856844916</v>
      </c>
      <c r="G61" s="24">
        <f t="shared" si="5"/>
        <v>0.5787673427122704</v>
      </c>
      <c r="H61" s="24">
        <f t="shared" si="6"/>
        <v>-0.5606465705151309</v>
      </c>
      <c r="J61" s="24">
        <f t="shared" si="7"/>
        <v>125.00461941327083</v>
      </c>
      <c r="K61" s="24">
        <f t="shared" si="20"/>
        <v>-2.317094934837735</v>
      </c>
      <c r="L61" s="28">
        <f t="shared" si="21"/>
        <v>-2.011282797657404</v>
      </c>
      <c r="M61" s="24">
        <v>-5</v>
      </c>
      <c r="N61" s="11">
        <v>14000</v>
      </c>
      <c r="O61" s="24">
        <f t="shared" si="8"/>
        <v>-645863.8881355195</v>
      </c>
      <c r="P61" s="24">
        <f t="shared" si="9"/>
        <v>-777812.289865551</v>
      </c>
      <c r="Q61" s="24">
        <f t="shared" si="10"/>
        <v>131948.4017300316</v>
      </c>
      <c r="R61" s="26">
        <f t="shared" si="25"/>
        <v>0.5606994872902251</v>
      </c>
      <c r="S61" s="24">
        <f t="shared" si="12"/>
        <v>230</v>
      </c>
      <c r="T61" s="27">
        <f t="shared" si="13"/>
        <v>649.1918423837781</v>
      </c>
      <c r="U61" s="24">
        <f t="shared" si="14"/>
        <v>-30383.301990423784</v>
      </c>
      <c r="V61" s="27">
        <f t="shared" si="15"/>
        <v>-808195.5918559749</v>
      </c>
      <c r="W61" s="27">
        <f t="shared" si="16"/>
        <v>162331.7037204554</v>
      </c>
      <c r="X61" s="24">
        <f t="shared" si="17"/>
        <v>10631.143916500918</v>
      </c>
      <c r="Y61" s="24">
        <f t="shared" si="22"/>
        <v>-4505.462373295596</v>
      </c>
      <c r="Z61" s="24">
        <f t="shared" si="23"/>
        <v>0</v>
      </c>
      <c r="AA61" s="24">
        <f t="shared" si="24"/>
        <v>166296.5986014977</v>
      </c>
      <c r="AB61" s="33">
        <f t="shared" si="18"/>
        <v>26351582032.785717</v>
      </c>
    </row>
    <row r="62" spans="1:28" ht="12.75">
      <c r="A62" s="24">
        <f t="shared" si="19"/>
        <v>235</v>
      </c>
      <c r="B62" s="24">
        <f t="shared" si="0"/>
        <v>4.101523742186674</v>
      </c>
      <c r="C62" s="26">
        <f t="shared" si="1"/>
        <v>0.8484185042333143</v>
      </c>
      <c r="D62" s="26">
        <f t="shared" si="2"/>
        <v>-51.53891083777555</v>
      </c>
      <c r="E62" s="24">
        <f t="shared" si="3"/>
        <v>2.2407462390171062</v>
      </c>
      <c r="F62" s="24">
        <f t="shared" si="4"/>
        <v>207.02582082412508</v>
      </c>
      <c r="G62" s="24">
        <f t="shared" si="5"/>
        <v>0.6090663279437303</v>
      </c>
      <c r="H62" s="24">
        <f t="shared" si="6"/>
        <v>-0.6370448012703345</v>
      </c>
      <c r="J62" s="24">
        <f t="shared" si="7"/>
        <v>120.71034423641602</v>
      </c>
      <c r="K62" s="24">
        <f t="shared" si="20"/>
        <v>-2.576565106112886</v>
      </c>
      <c r="L62" s="28">
        <f t="shared" si="21"/>
        <v>-1.8681301356279234</v>
      </c>
      <c r="M62" s="24">
        <v>-12</v>
      </c>
      <c r="N62" s="11">
        <v>14000</v>
      </c>
      <c r="O62" s="24">
        <f t="shared" si="8"/>
        <v>-711236.9695613027</v>
      </c>
      <c r="P62" s="24">
        <f t="shared" si="9"/>
        <v>-831735.721131665</v>
      </c>
      <c r="Q62" s="24">
        <f t="shared" si="10"/>
        <v>120498.75157036236</v>
      </c>
      <c r="R62" s="26">
        <f t="shared" si="25"/>
        <v>0.5757907478833428</v>
      </c>
      <c r="S62" s="24">
        <f t="shared" si="12"/>
        <v>235</v>
      </c>
      <c r="T62" s="27">
        <f t="shared" si="13"/>
        <v>652.2702620391137</v>
      </c>
      <c r="U62" s="24">
        <f t="shared" si="14"/>
        <v>-33617.29887736638</v>
      </c>
      <c r="V62" s="27">
        <f t="shared" si="15"/>
        <v>-865353.0200090314</v>
      </c>
      <c r="W62" s="27">
        <f t="shared" si="16"/>
        <v>154116.05044772872</v>
      </c>
      <c r="X62" s="24">
        <f t="shared" si="17"/>
        <v>10781.384261797666</v>
      </c>
      <c r="Y62" s="24">
        <f t="shared" si="22"/>
        <v>-5009.987706330612</v>
      </c>
      <c r="Z62" s="24">
        <f t="shared" si="23"/>
        <v>0</v>
      </c>
      <c r="AA62" s="24">
        <f t="shared" si="24"/>
        <v>158223.87708409206</v>
      </c>
      <c r="AB62" s="33">
        <f t="shared" si="18"/>
        <v>23751757005.606865</v>
      </c>
    </row>
    <row r="63" spans="1:28" ht="12.75">
      <c r="A63" s="24">
        <f t="shared" si="19"/>
        <v>240</v>
      </c>
      <c r="B63" s="24">
        <f t="shared" si="0"/>
        <v>4.1887902047863905</v>
      </c>
      <c r="C63" s="26">
        <f t="shared" si="1"/>
        <v>0.8154778490138297</v>
      </c>
      <c r="D63" s="26">
        <f t="shared" si="2"/>
        <v>-55.7864734506388</v>
      </c>
      <c r="E63" s="24">
        <f t="shared" si="3"/>
        <v>2.2163715862685214</v>
      </c>
      <c r="F63" s="24">
        <f t="shared" si="4"/>
        <v>205.83699196023593</v>
      </c>
      <c r="G63" s="24">
        <f t="shared" si="5"/>
        <v>0.6421340899060721</v>
      </c>
      <c r="H63" s="24">
        <f t="shared" si="6"/>
        <v>-0.7156181546562936</v>
      </c>
      <c r="J63" s="24">
        <f t="shared" si="7"/>
        <v>116.02365033349331</v>
      </c>
      <c r="K63" s="24">
        <f t="shared" si="20"/>
        <v>-2.812016341753628</v>
      </c>
      <c r="L63" s="28">
        <f t="shared" si="21"/>
        <v>-1.6951988993943583</v>
      </c>
      <c r="M63" s="24">
        <v>-20</v>
      </c>
      <c r="N63" s="11">
        <v>12500</v>
      </c>
      <c r="O63" s="24">
        <f t="shared" si="8"/>
        <v>-686173.6234428573</v>
      </c>
      <c r="P63" s="24">
        <f t="shared" si="9"/>
        <v>-879329.1413442076</v>
      </c>
      <c r="Q63" s="24">
        <f t="shared" si="10"/>
        <v>193155.51790135028</v>
      </c>
      <c r="R63" s="26">
        <f t="shared" si="25"/>
        <v>0.5922610754930852</v>
      </c>
      <c r="S63" s="24">
        <f t="shared" si="12"/>
        <v>240</v>
      </c>
      <c r="T63" s="27">
        <f t="shared" si="13"/>
        <v>655.9890536361102</v>
      </c>
      <c r="U63" s="24">
        <f t="shared" si="14"/>
        <v>-36595.31592458053</v>
      </c>
      <c r="V63" s="27">
        <f t="shared" si="15"/>
        <v>-915924.4572687881</v>
      </c>
      <c r="W63" s="27">
        <f t="shared" si="16"/>
        <v>229750.83382593084</v>
      </c>
      <c r="X63" s="24">
        <f t="shared" si="17"/>
        <v>10882.239267124069</v>
      </c>
      <c r="Y63" s="24">
        <f t="shared" si="22"/>
        <v>-5174.891184477162</v>
      </c>
      <c r="Z63" s="24">
        <f t="shared" si="23"/>
        <v>0</v>
      </c>
      <c r="AA63" s="24">
        <f t="shared" si="24"/>
        <v>191933.44213682978</v>
      </c>
      <c r="AB63" s="33">
        <f t="shared" si="18"/>
        <v>52785445643.71049</v>
      </c>
    </row>
    <row r="64" spans="1:28" ht="12.75">
      <c r="A64" s="24">
        <f t="shared" si="19"/>
        <v>245</v>
      </c>
      <c r="B64" s="24">
        <f t="shared" si="0"/>
        <v>4.276056667386107</v>
      </c>
      <c r="C64" s="26">
        <f t="shared" si="1"/>
        <v>0.7800930240576446</v>
      </c>
      <c r="D64" s="26">
        <f t="shared" si="2"/>
        <v>-59.504022413738966</v>
      </c>
      <c r="E64" s="24">
        <f t="shared" si="3"/>
        <v>2.1874888542106476</v>
      </c>
      <c r="F64" s="24">
        <f t="shared" si="4"/>
        <v>204.39059605105368</v>
      </c>
      <c r="G64" s="24">
        <f t="shared" si="5"/>
        <v>0.6776554528217116</v>
      </c>
      <c r="H64" s="24">
        <f t="shared" si="6"/>
        <v>-0.7962459863982443</v>
      </c>
      <c r="J64" s="24">
        <f t="shared" si="7"/>
        <v>110.98920756745973</v>
      </c>
      <c r="K64" s="24">
        <f t="shared" si="20"/>
        <v>-3.0206656596201467</v>
      </c>
      <c r="L64" s="28">
        <f t="shared" si="21"/>
        <v>-1.5022307827103307</v>
      </c>
      <c r="M64" s="24">
        <v>0</v>
      </c>
      <c r="N64" s="11">
        <v>12000</v>
      </c>
      <c r="O64" s="24">
        <f t="shared" si="8"/>
        <v>-702147.4644821198</v>
      </c>
      <c r="P64" s="24">
        <f t="shared" si="9"/>
        <v>-920230.3358376687</v>
      </c>
      <c r="Q64" s="24">
        <f t="shared" si="10"/>
        <v>218082.87135554897</v>
      </c>
      <c r="R64" s="26">
        <f t="shared" si="25"/>
        <v>0.6099534879711777</v>
      </c>
      <c r="S64" s="24">
        <f t="shared" si="12"/>
        <v>245</v>
      </c>
      <c r="T64" s="27">
        <f t="shared" si="13"/>
        <v>660.138727381827</v>
      </c>
      <c r="U64" s="24">
        <f t="shared" si="14"/>
        <v>-39280.90963030535</v>
      </c>
      <c r="V64" s="27">
        <f t="shared" si="15"/>
        <v>-959511.2454679741</v>
      </c>
      <c r="W64" s="27">
        <f t="shared" si="16"/>
        <v>257363.78098585433</v>
      </c>
      <c r="X64" s="24">
        <f t="shared" si="17"/>
        <v>10947.361598874306</v>
      </c>
      <c r="Y64" s="24">
        <f t="shared" si="22"/>
        <v>-5139.326990325944</v>
      </c>
      <c r="Z64" s="24">
        <f t="shared" si="23"/>
        <v>0</v>
      </c>
      <c r="AA64" s="24">
        <f t="shared" si="24"/>
        <v>243557.30740589258</v>
      </c>
      <c r="AB64" s="33">
        <f t="shared" si="18"/>
        <v>66236115763.33479</v>
      </c>
    </row>
    <row r="65" spans="1:28" ht="12.75">
      <c r="A65" s="24">
        <f t="shared" si="19"/>
        <v>250</v>
      </c>
      <c r="B65" s="24">
        <f t="shared" si="0"/>
        <v>4.363323129985823</v>
      </c>
      <c r="C65" s="26">
        <f t="shared" si="1"/>
        <v>0.7425955824366121</v>
      </c>
      <c r="D65" s="26">
        <f t="shared" si="2"/>
        <v>-62.6738727507324</v>
      </c>
      <c r="E65" s="24">
        <f t="shared" si="3"/>
        <v>2.1545626411252066</v>
      </c>
      <c r="F65" s="24">
        <f t="shared" si="4"/>
        <v>202.69225869710104</v>
      </c>
      <c r="G65" s="24">
        <f t="shared" si="5"/>
        <v>0.7152975842686802</v>
      </c>
      <c r="H65" s="24">
        <f t="shared" si="6"/>
        <v>-0.8787965306364334</v>
      </c>
      <c r="J65" s="24">
        <f t="shared" si="7"/>
        <v>105.65418827748087</v>
      </c>
      <c r="K65" s="24">
        <f t="shared" si="20"/>
        <v>-3.2010115739873157</v>
      </c>
      <c r="L65" s="28">
        <f t="shared" si="21"/>
        <v>-1.2984522876404594</v>
      </c>
      <c r="M65" s="24">
        <v>20</v>
      </c>
      <c r="N65" s="11">
        <v>11500</v>
      </c>
      <c r="O65" s="24">
        <f t="shared" si="8"/>
        <v>-708214.7620832762</v>
      </c>
      <c r="P65" s="24">
        <f t="shared" si="9"/>
        <v>-954128.021825136</v>
      </c>
      <c r="Q65" s="24">
        <f t="shared" si="10"/>
        <v>245913.25974185986</v>
      </c>
      <c r="R65" s="26">
        <f t="shared" si="25"/>
        <v>0.628702208781694</v>
      </c>
      <c r="S65" s="24">
        <f t="shared" si="12"/>
        <v>250</v>
      </c>
      <c r="T65" s="27">
        <f t="shared" si="13"/>
        <v>664.5208723986526</v>
      </c>
      <c r="U65" s="24">
        <f t="shared" si="14"/>
        <v>-41648.09659691883</v>
      </c>
      <c r="V65" s="27">
        <f t="shared" si="15"/>
        <v>-995776.1184220549</v>
      </c>
      <c r="W65" s="27">
        <f t="shared" si="16"/>
        <v>287561.35633877874</v>
      </c>
      <c r="X65" s="24">
        <f t="shared" si="17"/>
        <v>10982.421585941613</v>
      </c>
      <c r="Y65" s="24">
        <f t="shared" si="22"/>
        <v>-5223.8730547709665</v>
      </c>
      <c r="Z65" s="24">
        <f t="shared" si="23"/>
        <v>0</v>
      </c>
      <c r="AA65" s="24">
        <f t="shared" si="24"/>
        <v>272462.56866231654</v>
      </c>
      <c r="AB65" s="33">
        <f t="shared" si="18"/>
        <v>82691533659.39809</v>
      </c>
    </row>
    <row r="66" spans="1:28" ht="12.75">
      <c r="A66" s="24">
        <f t="shared" si="19"/>
        <v>255</v>
      </c>
      <c r="B66" s="24">
        <f t="shared" si="0"/>
        <v>4.4505895925855405</v>
      </c>
      <c r="C66" s="26">
        <f t="shared" si="1"/>
        <v>0.7033222371924022</v>
      </c>
      <c r="D66" s="26">
        <f t="shared" si="2"/>
        <v>-65.29594425581237</v>
      </c>
      <c r="E66" s="24">
        <f t="shared" si="3"/>
        <v>2.1180638271280436</v>
      </c>
      <c r="F66" s="24">
        <f t="shared" si="4"/>
        <v>200.74869090920032</v>
      </c>
      <c r="G66" s="24">
        <f t="shared" si="5"/>
        <v>0.754722471944631</v>
      </c>
      <c r="H66" s="24">
        <f t="shared" si="6"/>
        <v>-0.9631369195573627</v>
      </c>
      <c r="J66" s="24">
        <f t="shared" si="7"/>
        <v>100.06649894716836</v>
      </c>
      <c r="K66" s="24">
        <f t="shared" si="20"/>
        <v>-3.3526135981875083</v>
      </c>
      <c r="L66" s="28">
        <f t="shared" si="21"/>
        <v>-1.0915023820994159</v>
      </c>
      <c r="M66" s="24">
        <v>25</v>
      </c>
      <c r="N66" s="11">
        <v>10700</v>
      </c>
      <c r="O66" s="24">
        <f t="shared" si="8"/>
        <v>-685607.4146860299</v>
      </c>
      <c r="P66" s="24">
        <f t="shared" si="9"/>
        <v>-980764.217448263</v>
      </c>
      <c r="Q66" s="24">
        <f t="shared" si="10"/>
        <v>295156.80276223307</v>
      </c>
      <c r="R66" s="26">
        <f t="shared" si="25"/>
        <v>0.6483388814037989</v>
      </c>
      <c r="S66" s="24">
        <f t="shared" si="12"/>
        <v>255</v>
      </c>
      <c r="T66" s="27">
        <f t="shared" si="13"/>
        <v>668.9712168620773</v>
      </c>
      <c r="U66" s="24">
        <f t="shared" si="14"/>
        <v>-43681.10728496917</v>
      </c>
      <c r="V66" s="27">
        <f t="shared" si="15"/>
        <v>-1024445.3247332321</v>
      </c>
      <c r="W66" s="27">
        <f t="shared" si="16"/>
        <v>338837.91004720225</v>
      </c>
      <c r="X66" s="24">
        <f t="shared" si="17"/>
        <v>10988.500461428359</v>
      </c>
      <c r="Y66" s="24">
        <f t="shared" si="22"/>
        <v>-5168.612630539076</v>
      </c>
      <c r="Z66" s="24">
        <f t="shared" si="23"/>
        <v>0</v>
      </c>
      <c r="AA66" s="24">
        <f t="shared" si="24"/>
        <v>313199.6331929905</v>
      </c>
      <c r="AB66" s="33">
        <f t="shared" si="18"/>
        <v>114811129285.15593</v>
      </c>
    </row>
    <row r="67" spans="1:28" ht="12.75">
      <c r="A67" s="24">
        <f t="shared" si="19"/>
        <v>260</v>
      </c>
      <c r="B67" s="24">
        <f t="shared" si="0"/>
        <v>4.537856055185257</v>
      </c>
      <c r="C67" s="26">
        <f t="shared" si="1"/>
        <v>0.6626058120375558</v>
      </c>
      <c r="D67" s="26">
        <f t="shared" si="2"/>
        <v>-67.3820623724963</v>
      </c>
      <c r="E67" s="24">
        <f t="shared" si="3"/>
        <v>2.078452820888343</v>
      </c>
      <c r="F67" s="24">
        <f t="shared" si="4"/>
        <v>198.5677185232493</v>
      </c>
      <c r="G67" s="24">
        <f t="shared" si="5"/>
        <v>0.7955960078839394</v>
      </c>
      <c r="H67" s="24">
        <f t="shared" si="6"/>
        <v>-1.0491408524574712</v>
      </c>
      <c r="J67" s="24">
        <f t="shared" si="7"/>
        <v>94.27349269849019</v>
      </c>
      <c r="K67" s="24">
        <f t="shared" si="20"/>
        <v>-3.4758037492069005</v>
      </c>
      <c r="L67" s="28">
        <f t="shared" si="21"/>
        <v>-0.8869429283562561</v>
      </c>
      <c r="M67" s="24">
        <v>30</v>
      </c>
      <c r="N67" s="11">
        <v>10200</v>
      </c>
      <c r="O67" s="24">
        <f t="shared" si="8"/>
        <v>-673820.623724963</v>
      </c>
      <c r="P67" s="24">
        <f t="shared" si="9"/>
        <v>-999936.2051749825</v>
      </c>
      <c r="Q67" s="24">
        <f t="shared" si="10"/>
        <v>326115.5814500195</v>
      </c>
      <c r="R67" s="26">
        <f t="shared" si="25"/>
        <v>0.6686970939812221</v>
      </c>
      <c r="S67" s="24">
        <f t="shared" si="12"/>
        <v>260</v>
      </c>
      <c r="T67" s="27">
        <f t="shared" si="13"/>
        <v>673.3701559677852</v>
      </c>
      <c r="U67" s="24">
        <f t="shared" si="14"/>
        <v>-45373.069849198866</v>
      </c>
      <c r="V67" s="27">
        <f t="shared" si="15"/>
        <v>-1045309.2750241815</v>
      </c>
      <c r="W67" s="27">
        <f t="shared" si="16"/>
        <v>371488.6512992184</v>
      </c>
      <c r="X67" s="24">
        <f t="shared" si="17"/>
        <v>10964.129940318282</v>
      </c>
      <c r="Y67" s="24">
        <f t="shared" si="22"/>
        <v>-5044.742941557238</v>
      </c>
      <c r="Z67" s="24">
        <f t="shared" si="23"/>
        <v>0</v>
      </c>
      <c r="AA67" s="24">
        <f t="shared" si="24"/>
        <v>355163.28067321033</v>
      </c>
      <c r="AB67" s="33">
        <f t="shared" si="18"/>
        <v>138003818044.1123</v>
      </c>
    </row>
    <row r="68" spans="1:28" ht="12.75">
      <c r="A68" s="24">
        <f t="shared" si="19"/>
        <v>265</v>
      </c>
      <c r="B68" s="24">
        <f t="shared" si="0"/>
        <v>4.625122517784973</v>
      </c>
      <c r="C68" s="26">
        <f t="shared" si="1"/>
        <v>0.6207695928790207</v>
      </c>
      <c r="D68" s="26">
        <f t="shared" si="2"/>
        <v>-68.95069632563373</v>
      </c>
      <c r="E68" s="24">
        <f t="shared" si="3"/>
        <v>2.0361685863555454</v>
      </c>
      <c r="F68" s="24">
        <f t="shared" si="4"/>
        <v>196.15831771597377</v>
      </c>
      <c r="G68" s="24">
        <f t="shared" si="5"/>
        <v>0.8375936587297094</v>
      </c>
      <c r="H68" s="24">
        <f t="shared" si="6"/>
        <v>-1.1366938987442157</v>
      </c>
      <c r="J68" s="24">
        <f t="shared" si="7"/>
        <v>88.3211656441192</v>
      </c>
      <c r="K68" s="24">
        <f t="shared" si="20"/>
        <v>-3.5713962326225897</v>
      </c>
      <c r="L68" s="28">
        <f t="shared" si="21"/>
        <v>-0.6882455818745734</v>
      </c>
      <c r="M68" s="24">
        <v>30</v>
      </c>
      <c r="N68" s="11">
        <v>9155</v>
      </c>
      <c r="O68" s="24">
        <f t="shared" si="8"/>
        <v>-617453.48559605</v>
      </c>
      <c r="P68" s="24">
        <f t="shared" si="9"/>
        <v>-1011498.0746023322</v>
      </c>
      <c r="Q68" s="24">
        <f t="shared" si="10"/>
        <v>394044.58900628216</v>
      </c>
      <c r="R68" s="26">
        <f t="shared" si="25"/>
        <v>0.6896152035604897</v>
      </c>
      <c r="S68" s="24">
        <f t="shared" si="12"/>
        <v>265</v>
      </c>
      <c r="T68" s="27">
        <f t="shared" si="13"/>
        <v>677.643033664927</v>
      </c>
      <c r="U68" s="24">
        <f t="shared" si="14"/>
        <v>-46723.95903141157</v>
      </c>
      <c r="V68" s="27">
        <f t="shared" si="15"/>
        <v>-1058222.0336337439</v>
      </c>
      <c r="W68" s="27">
        <f t="shared" si="16"/>
        <v>440768.54803769384</v>
      </c>
      <c r="X68" s="24">
        <f t="shared" si="17"/>
        <v>10906.520354012666</v>
      </c>
      <c r="Y68" s="24">
        <f t="shared" si="22"/>
        <v>-4800.303755722932</v>
      </c>
      <c r="Z68" s="24">
        <f t="shared" si="23"/>
        <v>0</v>
      </c>
      <c r="AA68" s="24">
        <f t="shared" si="24"/>
        <v>406128.5996684561</v>
      </c>
      <c r="AB68" s="33">
        <f t="shared" si="18"/>
        <v>194276912939.2568</v>
      </c>
    </row>
    <row r="69" spans="1:28" ht="12.75">
      <c r="A69" s="24">
        <f t="shared" si="19"/>
        <v>270</v>
      </c>
      <c r="B69" s="24">
        <f t="shared" si="0"/>
        <v>4.71238898038469</v>
      </c>
      <c r="C69" s="26">
        <f t="shared" si="1"/>
        <v>0.5781246262650639</v>
      </c>
      <c r="D69" s="26">
        <f t="shared" si="2"/>
        <v>-70.0226623048461</v>
      </c>
      <c r="E69" s="24">
        <f t="shared" si="3"/>
        <v>1.9916226691488614</v>
      </c>
      <c r="F69" s="24">
        <f t="shared" si="4"/>
        <v>193.53065726132382</v>
      </c>
      <c r="G69" s="24">
        <f t="shared" si="5"/>
        <v>0.8804031777112326</v>
      </c>
      <c r="H69" s="24">
        <f t="shared" si="6"/>
        <v>-1.225696759569093</v>
      </c>
      <c r="J69" s="24">
        <f t="shared" si="7"/>
        <v>82.25377251886793</v>
      </c>
      <c r="K69" s="24">
        <f t="shared" si="20"/>
        <v>-3.6404358751507626</v>
      </c>
      <c r="L69" s="28">
        <f t="shared" si="21"/>
        <v>-0.49707076588425914</v>
      </c>
      <c r="M69" s="24">
        <v>30</v>
      </c>
      <c r="N69" s="11">
        <v>9900</v>
      </c>
      <c r="O69" s="24">
        <f t="shared" si="8"/>
        <v>-679219.8243570072</v>
      </c>
      <c r="P69" s="24">
        <f t="shared" si="9"/>
        <v>-1015361.8329227217</v>
      </c>
      <c r="Q69" s="24">
        <f t="shared" si="10"/>
        <v>336142.0085657146</v>
      </c>
      <c r="R69" s="26">
        <f t="shared" si="25"/>
        <v>0.710937686867468</v>
      </c>
      <c r="S69" s="24">
        <f t="shared" si="12"/>
        <v>270</v>
      </c>
      <c r="T69" s="27">
        <f t="shared" si="13"/>
        <v>681.7541434606259</v>
      </c>
      <c r="U69" s="24">
        <f t="shared" si="14"/>
        <v>-47738.240162473005</v>
      </c>
      <c r="V69" s="27">
        <f t="shared" si="15"/>
        <v>-1063100.0730851947</v>
      </c>
      <c r="W69" s="27">
        <f t="shared" si="16"/>
        <v>383880.2487281875</v>
      </c>
      <c r="X69" s="24">
        <f t="shared" si="17"/>
        <v>10812.27963384315</v>
      </c>
      <c r="Y69" s="24">
        <f t="shared" si="22"/>
        <v>-4817.257333402625</v>
      </c>
      <c r="Z69" s="24">
        <f t="shared" si="23"/>
        <v>0</v>
      </c>
      <c r="AA69" s="24">
        <f t="shared" si="24"/>
        <v>412324.3983829407</v>
      </c>
      <c r="AB69" s="33">
        <f t="shared" si="18"/>
        <v>147364045363.6151</v>
      </c>
    </row>
    <row r="70" spans="1:28" ht="12.75">
      <c r="A70" s="24">
        <f t="shared" si="19"/>
        <v>275</v>
      </c>
      <c r="B70" s="24">
        <f t="shared" si="0"/>
        <v>4.799655442984406</v>
      </c>
      <c r="C70" s="26">
        <f t="shared" si="1"/>
        <v>0.5349693153898415</v>
      </c>
      <c r="D70" s="26">
        <f t="shared" si="2"/>
        <v>-70.61792680991329</v>
      </c>
      <c r="E70" s="24">
        <f t="shared" si="3"/>
        <v>1.9451971056977313</v>
      </c>
      <c r="F70" s="24">
        <f t="shared" si="4"/>
        <v>190.69614821592103</v>
      </c>
      <c r="G70" s="24">
        <f t="shared" si="5"/>
        <v>0.9237250101982988</v>
      </c>
      <c r="H70" s="24">
        <f t="shared" si="6"/>
        <v>-1.3160669531328733</v>
      </c>
      <c r="J70" s="24">
        <f t="shared" si="7"/>
        <v>76.11376920047603</v>
      </c>
      <c r="K70" s="24">
        <f t="shared" si="20"/>
        <v>-3.6840019910351427</v>
      </c>
      <c r="L70" s="28">
        <f t="shared" si="21"/>
        <v>-0.3136667832602736</v>
      </c>
      <c r="M70" s="24">
        <v>32</v>
      </c>
      <c r="N70" s="11">
        <v>10200</v>
      </c>
      <c r="O70" s="24">
        <f t="shared" si="8"/>
        <v>-706179.2680991328</v>
      </c>
      <c r="P70" s="24">
        <f t="shared" si="9"/>
        <v>-1011498.0746023322</v>
      </c>
      <c r="Q70" s="24">
        <f t="shared" si="10"/>
        <v>305318.8065031994</v>
      </c>
      <c r="R70" s="26">
        <f t="shared" si="25"/>
        <v>0.7325153423050792</v>
      </c>
      <c r="S70" s="24">
        <f t="shared" si="12"/>
        <v>275</v>
      </c>
      <c r="T70" s="27">
        <f t="shared" si="13"/>
        <v>685.6981457374417</v>
      </c>
      <c r="U70" s="24">
        <f t="shared" si="14"/>
        <v>-48422.58146937991</v>
      </c>
      <c r="V70" s="27">
        <f t="shared" si="15"/>
        <v>-1059920.656071712</v>
      </c>
      <c r="W70" s="27">
        <f t="shared" si="16"/>
        <v>353741.3879725792</v>
      </c>
      <c r="X70" s="24">
        <f t="shared" si="17"/>
        <v>10677.802018507326</v>
      </c>
      <c r="Y70" s="24">
        <f t="shared" si="22"/>
        <v>-5142.25277915322</v>
      </c>
      <c r="Z70" s="24">
        <f t="shared" si="23"/>
        <v>0</v>
      </c>
      <c r="AA70" s="24">
        <f t="shared" si="24"/>
        <v>368810.8183503834</v>
      </c>
      <c r="AB70" s="33">
        <f t="shared" si="18"/>
        <v>125132969564.76682</v>
      </c>
    </row>
    <row r="71" spans="1:28" ht="12.75">
      <c r="A71" s="24">
        <f t="shared" si="19"/>
        <v>280</v>
      </c>
      <c r="B71" s="24">
        <f t="shared" si="0"/>
        <v>4.886921905584122</v>
      </c>
      <c r="C71" s="26">
        <f t="shared" si="1"/>
        <v>0.491590660987014</v>
      </c>
      <c r="D71" s="26">
        <f t="shared" si="2"/>
        <v>-70.75341167972633</v>
      </c>
      <c r="E71" s="24">
        <f t="shared" si="3"/>
        <v>1.8972450930996447</v>
      </c>
      <c r="F71" s="24">
        <f t="shared" si="4"/>
        <v>187.66750173641103</v>
      </c>
      <c r="G71" s="24">
        <f t="shared" si="5"/>
        <v>0.9672710480193958</v>
      </c>
      <c r="H71" s="24">
        <f t="shared" si="6"/>
        <v>-1.4077393905095792</v>
      </c>
      <c r="J71" s="24">
        <f t="shared" si="7"/>
        <v>69.94198926009196</v>
      </c>
      <c r="K71" s="24">
        <f t="shared" si="20"/>
        <v>-3.703067964230442</v>
      </c>
      <c r="L71" s="28">
        <f t="shared" si="21"/>
        <v>-0.13727095841565043</v>
      </c>
      <c r="M71" s="24">
        <v>35</v>
      </c>
      <c r="N71" s="11">
        <v>10600</v>
      </c>
      <c r="O71" s="24">
        <f t="shared" si="8"/>
        <v>-735835.4814691538</v>
      </c>
      <c r="P71" s="24">
        <f t="shared" si="9"/>
        <v>-999936.2051749827</v>
      </c>
      <c r="Q71" s="24">
        <f t="shared" si="10"/>
        <v>264100.7237058289</v>
      </c>
      <c r="R71" s="26">
        <f t="shared" si="25"/>
        <v>0.754204669506493</v>
      </c>
      <c r="S71" s="24">
        <f t="shared" si="12"/>
        <v>280</v>
      </c>
      <c r="T71" s="27">
        <f t="shared" si="13"/>
        <v>689.4914414164909</v>
      </c>
      <c r="U71" s="24">
        <f t="shared" si="14"/>
        <v>-48783.87180418889</v>
      </c>
      <c r="V71" s="27">
        <f t="shared" si="15"/>
        <v>-1048720.0769791715</v>
      </c>
      <c r="W71" s="27">
        <f t="shared" si="16"/>
        <v>312884.5955100177</v>
      </c>
      <c r="X71" s="24">
        <f t="shared" si="17"/>
        <v>10499.433761269478</v>
      </c>
      <c r="Y71" s="24">
        <f t="shared" si="22"/>
        <v>-5348.87594833286</v>
      </c>
      <c r="Z71" s="24">
        <f t="shared" si="23"/>
        <v>0</v>
      </c>
      <c r="AA71" s="24">
        <f t="shared" si="24"/>
        <v>333312.99174129847</v>
      </c>
      <c r="AB71" s="33">
        <f t="shared" si="18"/>
        <v>97896770107.46739</v>
      </c>
    </row>
    <row r="72" spans="1:28" ht="12.75">
      <c r="A72" s="24">
        <f t="shared" si="19"/>
        <v>285</v>
      </c>
      <c r="B72" s="24">
        <f t="shared" si="0"/>
        <v>4.97418836818384</v>
      </c>
      <c r="C72" s="26">
        <f t="shared" si="1"/>
        <v>0.4482665908504591</v>
      </c>
      <c r="D72" s="26">
        <f t="shared" si="2"/>
        <v>-70.44160355098434</v>
      </c>
      <c r="E72" s="24">
        <f t="shared" si="3"/>
        <v>1.8480934662718322</v>
      </c>
      <c r="F72" s="24">
        <f t="shared" si="4"/>
        <v>184.4587956916592</v>
      </c>
      <c r="G72" s="24">
        <f t="shared" si="5"/>
        <v>1.0107622909521712</v>
      </c>
      <c r="H72" s="24">
        <f t="shared" si="6"/>
        <v>-1.5006662370043324</v>
      </c>
      <c r="J72" s="24">
        <f t="shared" si="7"/>
        <v>63.777975399229696</v>
      </c>
      <c r="K72" s="24">
        <f t="shared" si="20"/>
        <v>-3.698408316517357</v>
      </c>
      <c r="L72" s="28">
        <f t="shared" si="21"/>
        <v>0.03354847407486041</v>
      </c>
      <c r="M72" s="24">
        <v>35</v>
      </c>
      <c r="N72" s="11">
        <v>11000</v>
      </c>
      <c r="O72" s="24">
        <f t="shared" si="8"/>
        <v>-760769.3183506308</v>
      </c>
      <c r="P72" s="24">
        <f t="shared" si="9"/>
        <v>-980764.2174482631</v>
      </c>
      <c r="Q72" s="24">
        <f t="shared" si="10"/>
        <v>219994.89909763227</v>
      </c>
      <c r="R72" s="26">
        <f t="shared" si="25"/>
        <v>0.7758667045747705</v>
      </c>
      <c r="S72" s="24">
        <f t="shared" si="12"/>
        <v>285</v>
      </c>
      <c r="T72" s="27">
        <f t="shared" si="13"/>
        <v>693.164819829697</v>
      </c>
      <c r="U72" s="24">
        <f t="shared" si="14"/>
        <v>-48827.641433933</v>
      </c>
      <c r="V72" s="27">
        <f t="shared" si="15"/>
        <v>-1029591.8588821961</v>
      </c>
      <c r="W72" s="27">
        <f t="shared" si="16"/>
        <v>268822.5405315653</v>
      </c>
      <c r="X72" s="24">
        <f t="shared" si="17"/>
        <v>10273.476796544057</v>
      </c>
      <c r="Y72" s="24">
        <f t="shared" si="22"/>
        <v>-5547.612474776036</v>
      </c>
      <c r="Z72" s="24">
        <f t="shared" si="23"/>
        <v>0</v>
      </c>
      <c r="AA72" s="24">
        <f t="shared" si="24"/>
        <v>290853.5680207915</v>
      </c>
      <c r="AB72" s="33">
        <f t="shared" si="18"/>
        <v>72265558297.84508</v>
      </c>
    </row>
    <row r="73" spans="1:28" ht="12.75">
      <c r="A73" s="24">
        <f t="shared" si="19"/>
        <v>290</v>
      </c>
      <c r="B73" s="24">
        <f t="shared" si="0"/>
        <v>5.061454830783555</v>
      </c>
      <c r="C73" s="26">
        <f t="shared" si="1"/>
        <v>0.4052689495142503</v>
      </c>
      <c r="D73" s="26">
        <f t="shared" si="2"/>
        <v>-69.68975890354135</v>
      </c>
      <c r="E73" s="24">
        <f t="shared" si="3"/>
        <v>1.7980462549885456</v>
      </c>
      <c r="F73" s="24">
        <f t="shared" si="4"/>
        <v>181.08555060949777</v>
      </c>
      <c r="G73" s="24">
        <f t="shared" si="5"/>
        <v>1.0539258455072997</v>
      </c>
      <c r="H73" s="24">
        <f t="shared" si="6"/>
        <v>-1.594816356332207</v>
      </c>
      <c r="J73" s="24">
        <f t="shared" si="7"/>
        <v>57.660404812131326</v>
      </c>
      <c r="K73" s="24">
        <f t="shared" si="20"/>
        <v>-3.6705423522590226</v>
      </c>
      <c r="L73" s="28">
        <f t="shared" si="21"/>
        <v>0.20062902542320463</v>
      </c>
      <c r="M73" s="24">
        <v>35</v>
      </c>
      <c r="N73" s="11">
        <v>11600</v>
      </c>
      <c r="O73" s="24">
        <f t="shared" si="8"/>
        <v>-794463.2515003714</v>
      </c>
      <c r="P73" s="24">
        <f t="shared" si="9"/>
        <v>-954128.0218251359</v>
      </c>
      <c r="Q73" s="24">
        <f t="shared" si="10"/>
        <v>159664.77032476454</v>
      </c>
      <c r="R73" s="26">
        <f t="shared" si="25"/>
        <v>0.7973655252428749</v>
      </c>
      <c r="S73" s="24">
        <f t="shared" si="12"/>
        <v>290</v>
      </c>
      <c r="T73" s="27">
        <f t="shared" si="13"/>
        <v>696.7577956500777</v>
      </c>
      <c r="U73" s="24">
        <f t="shared" si="14"/>
        <v>-48556.88279301684</v>
      </c>
      <c r="V73" s="27">
        <f t="shared" si="15"/>
        <v>-1002684.9046181528</v>
      </c>
      <c r="W73" s="27">
        <f t="shared" si="16"/>
        <v>208221.6531177814</v>
      </c>
      <c r="X73" s="24">
        <f t="shared" si="17"/>
        <v>9996.057776050959</v>
      </c>
      <c r="Y73" s="24">
        <f t="shared" si="22"/>
        <v>-5760.712302850966</v>
      </c>
      <c r="Z73" s="24">
        <f t="shared" si="23"/>
        <v>0</v>
      </c>
      <c r="AA73" s="24">
        <f t="shared" si="24"/>
        <v>238522.09682467335</v>
      </c>
      <c r="AB73" s="33">
        <f t="shared" si="18"/>
        <v>43356256827.10168</v>
      </c>
    </row>
    <row r="74" spans="1:28" ht="12.75">
      <c r="A74" s="24">
        <f t="shared" si="19"/>
        <v>295</v>
      </c>
      <c r="B74" s="24">
        <f t="shared" si="0"/>
        <v>5.1487212933832724</v>
      </c>
      <c r="C74" s="26">
        <f t="shared" si="1"/>
        <v>0.36286683895998706</v>
      </c>
      <c r="D74" s="26">
        <f t="shared" si="2"/>
        <v>-68.49952909478209</v>
      </c>
      <c r="E74" s="24">
        <f t="shared" si="3"/>
        <v>1.7473888095079193</v>
      </c>
      <c r="F74" s="24">
        <f t="shared" si="4"/>
        <v>177.5648152503882</v>
      </c>
      <c r="G74" s="24">
        <f t="shared" si="5"/>
        <v>1.096491571330504</v>
      </c>
      <c r="H74" s="24">
        <f t="shared" si="6"/>
        <v>-1.6901745385893454</v>
      </c>
      <c r="J74" s="24">
        <f t="shared" si="7"/>
        <v>51.6275644912086</v>
      </c>
      <c r="K74" s="24">
        <f t="shared" si="20"/>
        <v>-3.619704192553634</v>
      </c>
      <c r="L74" s="28">
        <f t="shared" si="21"/>
        <v>0.3660239545793067</v>
      </c>
      <c r="M74" s="24">
        <v>25</v>
      </c>
      <c r="N74" s="11">
        <v>12000</v>
      </c>
      <c r="O74" s="24">
        <f t="shared" si="8"/>
        <v>-808294.4433184287</v>
      </c>
      <c r="P74" s="24">
        <f t="shared" si="9"/>
        <v>-920230.3358376686</v>
      </c>
      <c r="Q74" s="24">
        <f t="shared" si="10"/>
        <v>111935.89251923992</v>
      </c>
      <c r="R74" s="26">
        <f t="shared" si="25"/>
        <v>0.8185665805200064</v>
      </c>
      <c r="S74" s="24">
        <f t="shared" si="12"/>
        <v>295</v>
      </c>
      <c r="T74" s="27">
        <f t="shared" si="13"/>
        <v>700.3145230876864</v>
      </c>
      <c r="U74" s="24">
        <f t="shared" si="14"/>
        <v>-47971.21504974342</v>
      </c>
      <c r="V74" s="27">
        <f t="shared" si="15"/>
        <v>-968201.550887412</v>
      </c>
      <c r="W74" s="27">
        <f t="shared" si="16"/>
        <v>159907.10756898334</v>
      </c>
      <c r="X74" s="24">
        <f t="shared" si="17"/>
        <v>9662.861416032543</v>
      </c>
      <c r="Y74" s="24">
        <f t="shared" si="22"/>
        <v>-5932.292982240678</v>
      </c>
      <c r="Z74" s="24">
        <f t="shared" si="23"/>
        <v>0</v>
      </c>
      <c r="AA74" s="24">
        <f t="shared" si="24"/>
        <v>184064.38034338236</v>
      </c>
      <c r="AB74" s="33">
        <f t="shared" si="18"/>
        <v>25570283051.078407</v>
      </c>
    </row>
    <row r="75" spans="1:28" ht="12.75">
      <c r="A75" s="24">
        <f t="shared" si="19"/>
        <v>300</v>
      </c>
      <c r="B75" s="24">
        <f t="shared" si="0"/>
        <v>5.235987755982989</v>
      </c>
      <c r="C75" s="26">
        <f t="shared" si="1"/>
        <v>0.3213300939314885</v>
      </c>
      <c r="D75" s="26">
        <f t="shared" si="2"/>
        <v>-66.86687991883376</v>
      </c>
      <c r="E75" s="24">
        <f t="shared" si="3"/>
        <v>1.6963921599253942</v>
      </c>
      <c r="F75" s="24">
        <f t="shared" si="4"/>
        <v>173.91526167263262</v>
      </c>
      <c r="G75" s="24">
        <f t="shared" si="5"/>
        <v>1.1381885924778072</v>
      </c>
      <c r="H75" s="24">
        <f t="shared" si="6"/>
        <v>-1.7867406296242838</v>
      </c>
      <c r="J75" s="24">
        <f t="shared" si="7"/>
        <v>45.7178456840013</v>
      </c>
      <c r="K75" s="24">
        <f t="shared" si="20"/>
        <v>-3.545831284324383</v>
      </c>
      <c r="L75" s="28">
        <f t="shared" si="21"/>
        <v>0.531869252605517</v>
      </c>
      <c r="M75" s="24">
        <v>15</v>
      </c>
      <c r="N75" s="11">
        <v>12000</v>
      </c>
      <c r="O75" s="24">
        <f t="shared" si="8"/>
        <v>-789029.1830422384</v>
      </c>
      <c r="P75" s="24">
        <f t="shared" si="9"/>
        <v>-879329.1413442078</v>
      </c>
      <c r="Q75" s="24">
        <f t="shared" si="10"/>
        <v>90299.95830196945</v>
      </c>
      <c r="R75" s="26">
        <f t="shared" si="25"/>
        <v>0.8393349530342558</v>
      </c>
      <c r="S75" s="24">
        <f t="shared" si="12"/>
        <v>300</v>
      </c>
      <c r="T75" s="27">
        <f t="shared" si="13"/>
        <v>703.8809354613784</v>
      </c>
      <c r="U75" s="24">
        <f t="shared" si="14"/>
        <v>-47066.321988652366</v>
      </c>
      <c r="V75" s="27">
        <f t="shared" si="15"/>
        <v>-926395.4633328601</v>
      </c>
      <c r="W75" s="27">
        <f t="shared" si="16"/>
        <v>137366.2802906218</v>
      </c>
      <c r="X75" s="24">
        <f t="shared" si="17"/>
        <v>9268.696850652104</v>
      </c>
      <c r="Y75" s="24">
        <f t="shared" si="22"/>
        <v>-5909.718807207305</v>
      </c>
      <c r="Z75" s="24">
        <f t="shared" si="23"/>
        <v>0</v>
      </c>
      <c r="AA75" s="24">
        <f t="shared" si="24"/>
        <v>148636.69392980257</v>
      </c>
      <c r="AB75" s="33">
        <f t="shared" si="18"/>
        <v>18869494960.88167</v>
      </c>
    </row>
    <row r="76" spans="1:28" ht="12.75">
      <c r="A76" s="24">
        <f t="shared" si="19"/>
        <v>305</v>
      </c>
      <c r="B76" s="24">
        <f t="shared" si="0"/>
        <v>5.323254218582705</v>
      </c>
      <c r="C76" s="26">
        <f t="shared" si="1"/>
        <v>0.28093273623638176</v>
      </c>
      <c r="D76" s="26">
        <f t="shared" si="2"/>
        <v>-64.78223260022088</v>
      </c>
      <c r="E76" s="24">
        <f t="shared" si="3"/>
        <v>1.6453174039245402</v>
      </c>
      <c r="F76" s="24">
        <f t="shared" si="4"/>
        <v>170.1572889700525</v>
      </c>
      <c r="G76" s="24">
        <f t="shared" si="5"/>
        <v>1.1787418297849754</v>
      </c>
      <c r="H76" s="24">
        <f t="shared" si="6"/>
        <v>-1.8845286109176858</v>
      </c>
      <c r="J76" s="24">
        <f t="shared" si="7"/>
        <v>39.97023536045635</v>
      </c>
      <c r="K76" s="24">
        <f t="shared" si="20"/>
        <v>-3.4485661941269683</v>
      </c>
      <c r="L76" s="28">
        <f t="shared" si="21"/>
        <v>0.7002879955309911</v>
      </c>
      <c r="M76" s="24">
        <v>12</v>
      </c>
      <c r="N76" s="11">
        <v>11700</v>
      </c>
      <c r="O76" s="24">
        <f t="shared" si="8"/>
        <v>-744995.6749025402</v>
      </c>
      <c r="P76" s="24">
        <f t="shared" si="9"/>
        <v>-831735.7211316653</v>
      </c>
      <c r="Q76" s="24">
        <f t="shared" si="10"/>
        <v>86740.04622912512</v>
      </c>
      <c r="R76" s="26">
        <f t="shared" si="25"/>
        <v>0.8595336318818091</v>
      </c>
      <c r="S76" s="24">
        <f t="shared" si="12"/>
        <v>305</v>
      </c>
      <c r="T76" s="27">
        <f t="shared" si="13"/>
        <v>707.5026883592877</v>
      </c>
      <c r="U76" s="24">
        <f t="shared" si="14"/>
        <v>-45833.60372257296</v>
      </c>
      <c r="V76" s="27">
        <f t="shared" si="15"/>
        <v>-877569.3248542382</v>
      </c>
      <c r="W76" s="27">
        <f t="shared" si="16"/>
        <v>132573.64995169803</v>
      </c>
      <c r="X76" s="24">
        <f t="shared" si="17"/>
        <v>8806.824780107025</v>
      </c>
      <c r="Y76" s="24">
        <f t="shared" si="22"/>
        <v>-5675.7651945006355</v>
      </c>
      <c r="Z76" s="24">
        <f t="shared" si="23"/>
        <v>0</v>
      </c>
      <c r="AA76" s="24">
        <f t="shared" si="24"/>
        <v>134969.9651211599</v>
      </c>
      <c r="AB76" s="33">
        <f t="shared" si="18"/>
        <v>17575772661.51536</v>
      </c>
    </row>
    <row r="77" spans="1:28" ht="12.75">
      <c r="A77" s="24">
        <f t="shared" si="19"/>
        <v>310</v>
      </c>
      <c r="B77" s="24">
        <f t="shared" si="0"/>
        <v>5.410520681182422</v>
      </c>
      <c r="C77" s="26">
        <f t="shared" si="1"/>
        <v>0.24195628200372868</v>
      </c>
      <c r="D77" s="26">
        <f t="shared" si="2"/>
        <v>-62.23080210172544</v>
      </c>
      <c r="E77" s="24">
        <f t="shared" si="3"/>
        <v>1.5944200038074978</v>
      </c>
      <c r="F77" s="24">
        <f t="shared" si="4"/>
        <v>166.31313382489358</v>
      </c>
      <c r="G77" s="24">
        <f t="shared" si="5"/>
        <v>1.2178686808483117</v>
      </c>
      <c r="H77" s="24">
        <f t="shared" si="6"/>
        <v>-1.9835656225711085</v>
      </c>
      <c r="J77" s="24">
        <f t="shared" si="7"/>
        <v>34.424786759249706</v>
      </c>
      <c r="K77" s="24">
        <f t="shared" si="20"/>
        <v>-3.3272691607239864</v>
      </c>
      <c r="L77" s="28">
        <f t="shared" si="21"/>
        <v>0.8733128835147862</v>
      </c>
      <c r="M77" s="24">
        <v>10</v>
      </c>
      <c r="N77" s="11">
        <v>11500</v>
      </c>
      <c r="O77" s="24">
        <f t="shared" si="8"/>
        <v>-703208.0637494974</v>
      </c>
      <c r="P77" s="24">
        <f t="shared" si="9"/>
        <v>-777812.2898655513</v>
      </c>
      <c r="Q77" s="24">
        <f t="shared" si="10"/>
        <v>74604.22611605388</v>
      </c>
      <c r="R77" s="26">
        <f t="shared" si="25"/>
        <v>0.8790218589981357</v>
      </c>
      <c r="S77" s="24">
        <f t="shared" si="12"/>
        <v>310</v>
      </c>
      <c r="T77" s="27">
        <f t="shared" si="13"/>
        <v>711.223493885921</v>
      </c>
      <c r="U77" s="24">
        <f t="shared" si="14"/>
        <v>-44260.00849811248</v>
      </c>
      <c r="V77" s="27">
        <f t="shared" si="15"/>
        <v>-822072.2983636637</v>
      </c>
      <c r="W77" s="27">
        <f t="shared" si="16"/>
        <v>118864.23461416631</v>
      </c>
      <c r="X77" s="24">
        <f t="shared" si="17"/>
        <v>8267.906589777718</v>
      </c>
      <c r="Y77" s="24">
        <f t="shared" si="22"/>
        <v>-5360.600314499756</v>
      </c>
      <c r="Z77" s="24">
        <f t="shared" si="23"/>
        <v>0</v>
      </c>
      <c r="AA77" s="24">
        <f t="shared" si="24"/>
        <v>125718.94228293217</v>
      </c>
      <c r="AB77" s="33">
        <f t="shared" si="18"/>
        <v>14128706270.411573</v>
      </c>
    </row>
    <row r="78" spans="1:28" ht="12.75">
      <c r="A78" s="24">
        <f t="shared" si="19"/>
        <v>315</v>
      </c>
      <c r="B78" s="24">
        <f t="shared" si="0"/>
        <v>5.497787143782138</v>
      </c>
      <c r="C78" s="26">
        <f t="shared" si="1"/>
        <v>0.20469277672771938</v>
      </c>
      <c r="D78" s="26">
        <f t="shared" si="2"/>
        <v>-59.193153439770946</v>
      </c>
      <c r="E78" s="24">
        <f t="shared" si="3"/>
        <v>1.543953923656006</v>
      </c>
      <c r="F78" s="24">
        <f t="shared" si="4"/>
        <v>162.40698450318752</v>
      </c>
      <c r="G78" s="24">
        <f t="shared" si="5"/>
        <v>1.2552759732697654</v>
      </c>
      <c r="H78" s="24">
        <f t="shared" si="6"/>
        <v>-2.083890872900863</v>
      </c>
      <c r="J78" s="24">
        <f t="shared" si="7"/>
        <v>29.123051204357076</v>
      </c>
      <c r="K78" s="24">
        <f t="shared" si="20"/>
        <v>-3.1810413329355782</v>
      </c>
      <c r="L78" s="28">
        <f t="shared" si="21"/>
        <v>1.0528093091257655</v>
      </c>
      <c r="M78" s="24">
        <v>15</v>
      </c>
      <c r="N78" s="11">
        <v>11200</v>
      </c>
      <c r="O78" s="24">
        <f t="shared" si="8"/>
        <v>-651124.6878374805</v>
      </c>
      <c r="P78" s="24">
        <f t="shared" si="9"/>
        <v>-717969.237417659</v>
      </c>
      <c r="Q78" s="24">
        <f t="shared" si="10"/>
        <v>66844.54958017857</v>
      </c>
      <c r="R78" s="26">
        <f t="shared" si="25"/>
        <v>0.8976536116361403</v>
      </c>
      <c r="S78" s="24">
        <f t="shared" si="12"/>
        <v>315</v>
      </c>
      <c r="T78" s="27">
        <f t="shared" si="13"/>
        <v>715.0834662876185</v>
      </c>
      <c r="U78" s="24">
        <f t="shared" si="14"/>
        <v>-42328.04534220628</v>
      </c>
      <c r="V78" s="27">
        <f t="shared" si="15"/>
        <v>-760297.2827598653</v>
      </c>
      <c r="W78" s="27">
        <f t="shared" si="16"/>
        <v>109172.59492238483</v>
      </c>
      <c r="X78" s="24">
        <f t="shared" si="17"/>
        <v>7638.314351808743</v>
      </c>
      <c r="Y78" s="24">
        <f t="shared" si="22"/>
        <v>-5014.558212335946</v>
      </c>
      <c r="Z78" s="24">
        <f t="shared" si="23"/>
        <v>0</v>
      </c>
      <c r="AA78" s="24">
        <f t="shared" si="24"/>
        <v>114018.41476827557</v>
      </c>
      <c r="AB78" s="33">
        <f t="shared" si="18"/>
        <v>11918655482.087126</v>
      </c>
    </row>
    <row r="79" spans="1:28" ht="12.75">
      <c r="A79" s="24">
        <f t="shared" si="19"/>
        <v>320</v>
      </c>
      <c r="B79" s="24">
        <f t="shared" si="0"/>
        <v>5.585053606381854</v>
      </c>
      <c r="C79" s="26">
        <f t="shared" si="1"/>
        <v>0.1694474072988462</v>
      </c>
      <c r="D79" s="26">
        <f t="shared" si="2"/>
        <v>-55.6460384877158</v>
      </c>
      <c r="E79" s="24">
        <f t="shared" si="3"/>
        <v>1.4941755580372293</v>
      </c>
      <c r="F79" s="24">
        <f t="shared" si="4"/>
        <v>158.46509278238835</v>
      </c>
      <c r="G79" s="24">
        <f t="shared" si="5"/>
        <v>1.2906573425468217</v>
      </c>
      <c r="H79" s="24">
        <f t="shared" si="6"/>
        <v>-2.1855543318422996</v>
      </c>
      <c r="J79" s="24">
        <f t="shared" si="7"/>
        <v>24.108449736719876</v>
      </c>
      <c r="K79" s="24">
        <f t="shared" si="20"/>
        <v>-3.008760880582319</v>
      </c>
      <c r="L79" s="28">
        <f t="shared" si="21"/>
        <v>1.240382673812018</v>
      </c>
      <c r="M79" s="24">
        <v>20</v>
      </c>
      <c r="N79" s="11">
        <v>11000</v>
      </c>
      <c r="O79" s="24">
        <f t="shared" si="8"/>
        <v>-600977.2156673307</v>
      </c>
      <c r="P79" s="24">
        <f t="shared" si="9"/>
        <v>-652662.00555134</v>
      </c>
      <c r="Q79" s="24">
        <f t="shared" si="10"/>
        <v>51684.78988400928</v>
      </c>
      <c r="R79" s="26">
        <f t="shared" si="25"/>
        <v>0.915276296350577</v>
      </c>
      <c r="S79" s="24">
        <f t="shared" si="12"/>
        <v>320</v>
      </c>
      <c r="T79" s="27">
        <f t="shared" si="13"/>
        <v>719.1171288439508</v>
      </c>
      <c r="U79" s="24">
        <f t="shared" si="14"/>
        <v>-40016.01942882617</v>
      </c>
      <c r="V79" s="27">
        <f t="shared" si="15"/>
        <v>-692678.0249801661</v>
      </c>
      <c r="W79" s="27">
        <f t="shared" si="16"/>
        <v>91700.80931283545</v>
      </c>
      <c r="X79" s="24">
        <f t="shared" si="17"/>
        <v>6897.2966110145835</v>
      </c>
      <c r="Y79" s="24">
        <f t="shared" si="22"/>
        <v>-4638.506357564409</v>
      </c>
      <c r="Z79" s="24">
        <f t="shared" si="23"/>
        <v>0</v>
      </c>
      <c r="AA79" s="24">
        <f t="shared" si="24"/>
        <v>100436.70211761014</v>
      </c>
      <c r="AB79" s="33">
        <f t="shared" si="18"/>
        <v>8409038428.629009</v>
      </c>
    </row>
    <row r="80" spans="1:28" ht="12.75">
      <c r="A80" s="24">
        <f t="shared" si="19"/>
        <v>325</v>
      </c>
      <c r="B80" s="24">
        <f aca="true" t="shared" si="26" ref="B80:B87">A80*2*PI()/360</f>
        <v>5.672320068981571</v>
      </c>
      <c r="C80" s="26">
        <f aca="true" t="shared" si="27" ref="C80:C87">($C$11-G80)/($C$11-$C$12)</f>
        <v>0.13654048962433837</v>
      </c>
      <c r="D80" s="26">
        <f aca="true" t="shared" si="28" ref="D80:D87">$C$8*$C$3/$C$5*SIN(H80)/SIN(E80)</f>
        <v>-51.563615431356304</v>
      </c>
      <c r="E80" s="24">
        <f aca="true" t="shared" si="29" ref="E80:E87">ACOS(($C$5^2+$C$4^2-$C$7^2-$C$8^2+2*$C$7*$C$8*COS(B80-$C$10))/(2*$C$5*$C$4))</f>
        <v>1.4453473999400022</v>
      </c>
      <c r="F80" s="24">
        <f aca="true" t="shared" si="30" ref="F80:F87">SQRT($C$8^2+$C$7^2-2*$C$8*$C$7*COS(B80-$C$10))</f>
        <v>154.51587538774814</v>
      </c>
      <c r="G80" s="24">
        <f aca="true" t="shared" si="31" ref="G80:G87">ACOS(($C$5^2+F80^2-$C$4^2)/(2*$C$5*F80))-ASIN($C$8*SIN(B80-$C$10)/F80)</f>
        <v>1.3236912367825184</v>
      </c>
      <c r="H80" s="24">
        <f aca="true" t="shared" si="32" ref="H80:H87">E80+G80-(B80-$C$10)</f>
        <v>-2.2886150583035465</v>
      </c>
      <c r="J80" s="24">
        <f aca="true" t="shared" si="33" ref="J80:J87">$C$3*($C$11-G80)</f>
        <v>19.426555906694585</v>
      </c>
      <c r="K80" s="24">
        <f t="shared" si="20"/>
        <v>-2.809136298015175</v>
      </c>
      <c r="L80" s="28">
        <f t="shared" si="21"/>
        <v>1.437254604924761</v>
      </c>
      <c r="M80" s="24">
        <v>20</v>
      </c>
      <c r="N80" s="11">
        <v>10900</v>
      </c>
      <c r="O80" s="24">
        <f aca="true" t="shared" si="34" ref="O80:O87">D80*(N80-$M$9)</f>
        <v>-551730.6851155125</v>
      </c>
      <c r="P80" s="24">
        <f aca="true" t="shared" si="35" ref="P80:P87">$M$10*SIN(RADIANS(A80))</f>
        <v>-582387.6217346814</v>
      </c>
      <c r="Q80" s="24">
        <f aca="true" t="shared" si="36" ref="Q80:Q87">O80-P80</f>
        <v>30656.936619168962</v>
      </c>
      <c r="R80" s="26">
        <f t="shared" si="25"/>
        <v>0.9317297551878309</v>
      </c>
      <c r="S80" s="24">
        <f aca="true" t="shared" si="37" ref="S80:S87">$C$9*A80</f>
        <v>325</v>
      </c>
      <c r="T80" s="27">
        <f aca="true" t="shared" si="38" ref="T80:T87">$T$9+$T$9/32.2*L80</f>
        <v>723.3507519825589</v>
      </c>
      <c r="U80" s="24">
        <f aca="true" t="shared" si="39" ref="U80:U87">D80*T80</f>
        <v>-37298.57999721106</v>
      </c>
      <c r="V80" s="27">
        <f aca="true" t="shared" si="40" ref="V80:V87">U80+P80</f>
        <v>-619686.2017318925</v>
      </c>
      <c r="W80" s="27">
        <f aca="true" t="shared" si="41" ref="W80:W87">O80-V80</f>
        <v>67955.51661638007</v>
      </c>
      <c r="X80" s="24">
        <f aca="true" t="shared" si="42" ref="X80:X87">IF(($F$3+V80)/D80+$M$9&lt;$F$4,($F$3+V80)/D80+$M$9,$F$4)</f>
        <v>6011.970305512182</v>
      </c>
      <c r="Y80" s="24">
        <f t="shared" si="22"/>
        <v>-4272.228119898079</v>
      </c>
      <c r="Z80" s="24">
        <f t="shared" si="23"/>
        <v>0</v>
      </c>
      <c r="AA80" s="24">
        <f t="shared" si="24"/>
        <v>79828.16296460776</v>
      </c>
      <c r="AB80" s="33">
        <f aca="true" t="shared" si="43" ref="AB80:AB87">W80^2</f>
        <v>4617952238.599109</v>
      </c>
    </row>
    <row r="81" spans="1:28" ht="12.75">
      <c r="A81" s="24">
        <f aca="true" t="shared" si="44" ref="A81:A87">(ABS(A80)+5)*$C$9</f>
        <v>330</v>
      </c>
      <c r="B81" s="24">
        <f t="shared" si="26"/>
        <v>5.759586531581287</v>
      </c>
      <c r="C81" s="26">
        <f t="shared" si="27"/>
        <v>0.10630855631344518</v>
      </c>
      <c r="D81" s="26">
        <f t="shared" si="28"/>
        <v>-46.91918967026794</v>
      </c>
      <c r="E81" s="24">
        <f t="shared" si="29"/>
        <v>1.3977413708188215</v>
      </c>
      <c r="F81" s="24">
        <f t="shared" si="30"/>
        <v>150.58999268909668</v>
      </c>
      <c r="G81" s="24">
        <f t="shared" si="31"/>
        <v>1.3540398248031562</v>
      </c>
      <c r="H81" s="24">
        <f t="shared" si="32"/>
        <v>-2.393138962003806</v>
      </c>
      <c r="J81" s="24">
        <f t="shared" si="33"/>
        <v>15.125250526529591</v>
      </c>
      <c r="K81" s="24">
        <f aca="true" t="shared" si="45" ref="K81:K87">(J81-J80)/10*$E$11</f>
        <v>-2.580783228098996</v>
      </c>
      <c r="L81" s="28">
        <f aca="true" t="shared" si="46" ref="L81:L87">(K81-K80)/(B81-B80)*$E$11*2*3.1415/60</f>
        <v>1.6440936134473436</v>
      </c>
      <c r="M81" s="24">
        <v>20</v>
      </c>
      <c r="N81" s="11">
        <v>10800</v>
      </c>
      <c r="O81" s="24">
        <f t="shared" si="34"/>
        <v>-497343.41050484014</v>
      </c>
      <c r="P81" s="24">
        <f t="shared" si="35"/>
        <v>-507680.91646136134</v>
      </c>
      <c r="Q81" s="24">
        <f t="shared" si="36"/>
        <v>10337.5059565212</v>
      </c>
      <c r="R81" s="26">
        <f t="shared" si="25"/>
        <v>0.9468457218432774</v>
      </c>
      <c r="S81" s="24">
        <f t="shared" si="37"/>
        <v>330</v>
      </c>
      <c r="T81" s="27">
        <f t="shared" si="38"/>
        <v>727.7987116662911</v>
      </c>
      <c r="U81" s="24">
        <f t="shared" si="39"/>
        <v>-34147.72579444736</v>
      </c>
      <c r="V81" s="27">
        <f t="shared" si="40"/>
        <v>-541828.6422558087</v>
      </c>
      <c r="W81" s="27">
        <f t="shared" si="41"/>
        <v>44485.23175096855</v>
      </c>
      <c r="X81" s="24">
        <f t="shared" si="42"/>
        <v>4927.887327439897</v>
      </c>
      <c r="Y81" s="24">
        <f aca="true" t="shared" si="47" ref="Y81:Y87">(N81+N80)/2*(J81-J80)/12</f>
        <v>-3889.0969478991824</v>
      </c>
      <c r="Z81" s="24">
        <f aca="true" t="shared" si="48" ref="Z81:Z87">IF(W81&lt;0,(15+W81)/2,0)</f>
        <v>0</v>
      </c>
      <c r="AA81" s="24">
        <f aca="true" t="shared" si="49" ref="AA81:AA87">IF(W81&gt;=0,(W80+W81)/2,0)</f>
        <v>56220.374183674314</v>
      </c>
      <c r="AB81" s="33">
        <f t="shared" si="43"/>
        <v>1978935843.9373806</v>
      </c>
    </row>
    <row r="82" spans="1:28" ht="12.75">
      <c r="A82" s="24">
        <f t="shared" si="44"/>
        <v>335</v>
      </c>
      <c r="B82" s="24">
        <f t="shared" si="26"/>
        <v>5.8468529941810035</v>
      </c>
      <c r="C82" s="26">
        <f t="shared" si="27"/>
        <v>0.07910417427994207</v>
      </c>
      <c r="D82" s="26">
        <f t="shared" si="28"/>
        <v>-41.68764401733981</v>
      </c>
      <c r="E82" s="24">
        <f t="shared" si="29"/>
        <v>1.3516416916419327</v>
      </c>
      <c r="F82" s="24">
        <f t="shared" si="30"/>
        <v>146.7203876103027</v>
      </c>
      <c r="G82" s="24">
        <f t="shared" si="31"/>
        <v>1.3813491792596024</v>
      </c>
      <c r="H82" s="24">
        <f t="shared" si="32"/>
        <v>-2.499195749323965</v>
      </c>
      <c r="J82" s="24">
        <f t="shared" si="33"/>
        <v>11.254695719417468</v>
      </c>
      <c r="K82" s="24">
        <f t="shared" si="45"/>
        <v>-2.322332884267274</v>
      </c>
      <c r="L82" s="28">
        <f t="shared" si="46"/>
        <v>1.8607875945919083</v>
      </c>
      <c r="M82" s="24">
        <v>22</v>
      </c>
      <c r="N82" s="11">
        <v>11300</v>
      </c>
      <c r="O82" s="24">
        <f t="shared" si="34"/>
        <v>-462732.84859247186</v>
      </c>
      <c r="P82" s="24">
        <f t="shared" si="35"/>
        <v>-429110.45286765095</v>
      </c>
      <c r="Q82" s="24">
        <f t="shared" si="36"/>
        <v>-33622.395724820904</v>
      </c>
      <c r="R82" s="26">
        <f t="shared" si="25"/>
        <v>0.960447912860029</v>
      </c>
      <c r="S82" s="24">
        <f t="shared" si="37"/>
        <v>335</v>
      </c>
      <c r="T82" s="27">
        <f t="shared" si="38"/>
        <v>732.4585971430346</v>
      </c>
      <c r="U82" s="24">
        <f t="shared" si="39"/>
        <v>-30534.47325513893</v>
      </c>
      <c r="V82" s="27">
        <f t="shared" si="40"/>
        <v>-459644.92612278985</v>
      </c>
      <c r="W82" s="27">
        <f t="shared" si="41"/>
        <v>-3087.922469682002</v>
      </c>
      <c r="X82" s="24">
        <f t="shared" si="42"/>
        <v>3549.791752796227</v>
      </c>
      <c r="Y82" s="24">
        <f t="shared" si="47"/>
        <v>-3564.1358848824134</v>
      </c>
      <c r="Z82" s="24">
        <f t="shared" si="48"/>
        <v>-1536.461234841001</v>
      </c>
      <c r="AA82" s="24">
        <f t="shared" si="49"/>
        <v>0</v>
      </c>
      <c r="AB82" s="33">
        <f t="shared" si="43"/>
        <v>9535265.178766994</v>
      </c>
    </row>
    <row r="83" spans="1:28" ht="12.75">
      <c r="A83" s="24">
        <f t="shared" si="44"/>
        <v>340</v>
      </c>
      <c r="B83" s="24">
        <f t="shared" si="26"/>
        <v>5.934119456780721</v>
      </c>
      <c r="C83" s="26">
        <f t="shared" si="27"/>
        <v>0.055294014371271766</v>
      </c>
      <c r="D83" s="26">
        <f t="shared" si="28"/>
        <v>-35.84873754129229</v>
      </c>
      <c r="E83" s="24">
        <f t="shared" si="29"/>
        <v>1.3073471124791705</v>
      </c>
      <c r="F83" s="24">
        <f t="shared" si="30"/>
        <v>142.9422620293179</v>
      </c>
      <c r="G83" s="24">
        <f t="shared" si="31"/>
        <v>1.4052512144467921</v>
      </c>
      <c r="H83" s="24">
        <f t="shared" si="32"/>
        <v>-2.6068547558992554</v>
      </c>
      <c r="J83" s="24">
        <f t="shared" si="33"/>
        <v>7.867060272337073</v>
      </c>
      <c r="K83" s="24">
        <f t="shared" si="45"/>
        <v>-2.0325812682482365</v>
      </c>
      <c r="L83" s="28">
        <f t="shared" si="46"/>
        <v>2.0861501076285296</v>
      </c>
      <c r="M83" s="24">
        <v>25</v>
      </c>
      <c r="N83" s="11">
        <v>11800</v>
      </c>
      <c r="O83" s="24">
        <f t="shared" si="34"/>
        <v>-415845.35547899053</v>
      </c>
      <c r="P83" s="24">
        <f t="shared" si="35"/>
        <v>-347274.1996236429</v>
      </c>
      <c r="Q83" s="24">
        <f t="shared" si="36"/>
        <v>-68571.15585534764</v>
      </c>
      <c r="R83" s="26">
        <f t="shared" si="25"/>
        <v>0.9723529928143642</v>
      </c>
      <c r="S83" s="24">
        <f t="shared" si="37"/>
        <v>340</v>
      </c>
      <c r="T83" s="27">
        <f t="shared" si="38"/>
        <v>737.3048946541833</v>
      </c>
      <c r="U83" s="24">
        <f t="shared" si="39"/>
        <v>-26431.449656367975</v>
      </c>
      <c r="V83" s="27">
        <f t="shared" si="40"/>
        <v>-373705.6492800109</v>
      </c>
      <c r="W83" s="27">
        <f t="shared" si="41"/>
        <v>-42139.706198979635</v>
      </c>
      <c r="X83" s="24">
        <f t="shared" si="42"/>
        <v>1698.1182870986786</v>
      </c>
      <c r="Y83" s="24">
        <f t="shared" si="47"/>
        <v>-3260.5991178148797</v>
      </c>
      <c r="Z83" s="24">
        <f t="shared" si="48"/>
        <v>-21062.353099489817</v>
      </c>
      <c r="AA83" s="24">
        <f t="shared" si="49"/>
        <v>0</v>
      </c>
      <c r="AB83" s="33">
        <f t="shared" si="43"/>
        <v>1775754838.5363226</v>
      </c>
    </row>
    <row r="84" spans="1:28" ht="12.75">
      <c r="A84" s="24">
        <f t="shared" si="44"/>
        <v>345</v>
      </c>
      <c r="B84" s="24">
        <f t="shared" si="26"/>
        <v>6.021385919380437</v>
      </c>
      <c r="C84" s="26">
        <f t="shared" si="27"/>
        <v>0.03525458995589386</v>
      </c>
      <c r="D84" s="26">
        <f t="shared" si="28"/>
        <v>-29.39142895625665</v>
      </c>
      <c r="E84" s="24">
        <f t="shared" si="29"/>
        <v>1.265172242920073</v>
      </c>
      <c r="F84" s="24">
        <f t="shared" si="30"/>
        <v>139.29296179467926</v>
      </c>
      <c r="G84" s="24">
        <f t="shared" si="31"/>
        <v>1.425367964159715</v>
      </c>
      <c r="H84" s="24">
        <f t="shared" si="32"/>
        <v>-2.7161793383451465</v>
      </c>
      <c r="J84" s="24">
        <f t="shared" si="33"/>
        <v>5.015913335524514</v>
      </c>
      <c r="K84" s="24">
        <f t="shared" si="45"/>
        <v>-1.7106881620875356</v>
      </c>
      <c r="L84" s="28">
        <f t="shared" si="46"/>
        <v>2.317562011519253</v>
      </c>
      <c r="M84" s="24">
        <v>27</v>
      </c>
      <c r="N84" s="11">
        <v>12100</v>
      </c>
      <c r="O84" s="24">
        <f t="shared" si="34"/>
        <v>-349758.00457945414</v>
      </c>
      <c r="P84" s="24">
        <f t="shared" si="35"/>
        <v>-262794.980030604</v>
      </c>
      <c r="Q84" s="24">
        <f t="shared" si="36"/>
        <v>-86963.02454885014</v>
      </c>
      <c r="R84" s="26">
        <f t="shared" si="25"/>
        <v>0.9823727050220531</v>
      </c>
      <c r="S84" s="24">
        <f t="shared" si="37"/>
        <v>345</v>
      </c>
      <c r="T84" s="27">
        <f t="shared" si="38"/>
        <v>742.2812810050647</v>
      </c>
      <c r="U84" s="24">
        <f t="shared" si="39"/>
        <v>-21816.707536219536</v>
      </c>
      <c r="V84" s="27">
        <f t="shared" si="40"/>
        <v>-284611.68756682356</v>
      </c>
      <c r="W84" s="27">
        <f t="shared" si="41"/>
        <v>-65146.31701263058</v>
      </c>
      <c r="X84" s="24">
        <f t="shared" si="42"/>
        <v>-1004.0351112511396</v>
      </c>
      <c r="Y84" s="24">
        <f t="shared" si="47"/>
        <v>-2839.2671579091734</v>
      </c>
      <c r="Z84" s="24">
        <f t="shared" si="48"/>
        <v>-32565.65850631529</v>
      </c>
      <c r="AA84" s="24">
        <f t="shared" si="49"/>
        <v>0</v>
      </c>
      <c r="AB84" s="33">
        <f t="shared" si="43"/>
        <v>4244042620.31016</v>
      </c>
    </row>
    <row r="85" spans="1:28" ht="12.75">
      <c r="A85" s="24">
        <f t="shared" si="44"/>
        <v>350</v>
      </c>
      <c r="B85" s="24">
        <f t="shared" si="26"/>
        <v>6.108652381980153</v>
      </c>
      <c r="C85" s="26">
        <f t="shared" si="27"/>
        <v>0.019365007653365213</v>
      </c>
      <c r="D85" s="26">
        <f t="shared" si="28"/>
        <v>-22.319296522598716</v>
      </c>
      <c r="E85" s="24">
        <f t="shared" si="29"/>
        <v>1.2254476441841393</v>
      </c>
      <c r="F85" s="24">
        <f t="shared" si="30"/>
        <v>135.81173572480327</v>
      </c>
      <c r="G85" s="24">
        <f t="shared" si="31"/>
        <v>1.4413188589357928</v>
      </c>
      <c r="H85" s="24">
        <f t="shared" si="32"/>
        <v>-2.8272195049047166</v>
      </c>
      <c r="J85" s="24">
        <f t="shared" si="33"/>
        <v>2.7551930189110063</v>
      </c>
      <c r="K85" s="24">
        <f t="shared" si="45"/>
        <v>-1.3564321899681047</v>
      </c>
      <c r="L85" s="28">
        <f t="shared" si="46"/>
        <v>2.550567774284507</v>
      </c>
      <c r="M85" s="24">
        <v>30</v>
      </c>
      <c r="N85" s="11">
        <v>12400</v>
      </c>
      <c r="O85" s="24">
        <f t="shared" si="34"/>
        <v>-272295.41757570434</v>
      </c>
      <c r="P85" s="24">
        <f t="shared" si="35"/>
        <v>-176315.73195958487</v>
      </c>
      <c r="Q85" s="24">
        <f t="shared" si="36"/>
        <v>-95979.68561611947</v>
      </c>
      <c r="R85" s="26">
        <f t="shared" si="25"/>
        <v>0.9903174961733174</v>
      </c>
      <c r="S85" s="24">
        <f t="shared" si="37"/>
        <v>350</v>
      </c>
      <c r="T85" s="27">
        <f t="shared" si="38"/>
        <v>747.291942418789</v>
      </c>
      <c r="U85" s="24">
        <f t="shared" si="39"/>
        <v>-16679.030451793715</v>
      </c>
      <c r="V85" s="27">
        <f t="shared" si="40"/>
        <v>-192994.7624113786</v>
      </c>
      <c r="W85" s="27">
        <f t="shared" si="41"/>
        <v>-79300.65516432576</v>
      </c>
      <c r="X85" s="24">
        <f t="shared" si="42"/>
        <v>-5490.378164922276</v>
      </c>
      <c r="Y85" s="24">
        <f t="shared" si="47"/>
        <v>-2307.818656542956</v>
      </c>
      <c r="Z85" s="24">
        <f t="shared" si="48"/>
        <v>-39642.82758216288</v>
      </c>
      <c r="AA85" s="24">
        <f t="shared" si="49"/>
        <v>0</v>
      </c>
      <c r="AB85" s="33">
        <f t="shared" si="43"/>
        <v>6288593909.491305</v>
      </c>
    </row>
    <row r="86" spans="1:28" ht="12.75">
      <c r="A86" s="24">
        <f t="shared" si="44"/>
        <v>355</v>
      </c>
      <c r="B86" s="24">
        <f t="shared" si="26"/>
        <v>6.19591884457987</v>
      </c>
      <c r="C86" s="26">
        <f t="shared" si="27"/>
        <v>0.007996077641437161</v>
      </c>
      <c r="D86" s="26">
        <f t="shared" si="28"/>
        <v>-14.656950693883253</v>
      </c>
      <c r="E86" s="24">
        <f t="shared" si="29"/>
        <v>1.1885182711126465</v>
      </c>
      <c r="F86" s="24">
        <f t="shared" si="30"/>
        <v>132.5393301137506</v>
      </c>
      <c r="G86" s="24">
        <f t="shared" si="31"/>
        <v>1.4527316577673894</v>
      </c>
      <c r="H86" s="24">
        <f t="shared" si="32"/>
        <v>-2.940002541744331</v>
      </c>
      <c r="J86" s="24">
        <f t="shared" si="33"/>
        <v>1.1376570405088167</v>
      </c>
      <c r="K86" s="24">
        <f t="shared" si="45"/>
        <v>-0.9705215870413139</v>
      </c>
      <c r="L86" s="28">
        <f t="shared" si="46"/>
        <v>2.778474394350989</v>
      </c>
      <c r="M86" s="24">
        <v>35</v>
      </c>
      <c r="N86" s="11">
        <v>12700</v>
      </c>
      <c r="O86" s="24">
        <f t="shared" si="34"/>
        <v>-183211.88367354067</v>
      </c>
      <c r="P86" s="24">
        <f t="shared" si="35"/>
        <v>-88494.61470600356</v>
      </c>
      <c r="Q86" s="24">
        <f t="shared" si="36"/>
        <v>-94717.26896753711</v>
      </c>
      <c r="R86" s="26">
        <f t="shared" si="25"/>
        <v>0.9960019611792814</v>
      </c>
      <c r="S86" s="24">
        <f t="shared" si="37"/>
        <v>355</v>
      </c>
      <c r="T86" s="27">
        <f t="shared" si="38"/>
        <v>752.1929495593288</v>
      </c>
      <c r="U86" s="24">
        <f t="shared" si="39"/>
        <v>-11024.854973977695</v>
      </c>
      <c r="V86" s="27">
        <f t="shared" si="40"/>
        <v>-99519.46967998125</v>
      </c>
      <c r="W86" s="27">
        <f t="shared" si="41"/>
        <v>-83692.41399355941</v>
      </c>
      <c r="X86" s="24">
        <f t="shared" si="42"/>
        <v>-14842.728526884608</v>
      </c>
      <c r="Y86" s="24">
        <f t="shared" si="47"/>
        <v>-1691.6730440789568</v>
      </c>
      <c r="Z86" s="24">
        <f t="shared" si="48"/>
        <v>-41838.70699677971</v>
      </c>
      <c r="AA86" s="24">
        <f t="shared" si="49"/>
        <v>0</v>
      </c>
      <c r="AB86" s="33">
        <f t="shared" si="43"/>
        <v>7004420160.06934</v>
      </c>
    </row>
    <row r="87" spans="1:28" ht="12.75">
      <c r="A87" s="24">
        <f t="shared" si="44"/>
        <v>360</v>
      </c>
      <c r="B87" s="24">
        <f t="shared" si="26"/>
        <v>6.283185307179586</v>
      </c>
      <c r="C87" s="26">
        <f t="shared" si="27"/>
        <v>0.0014952785930046355</v>
      </c>
      <c r="D87" s="26">
        <f t="shared" si="28"/>
        <v>-6.457040535219377</v>
      </c>
      <c r="E87" s="24">
        <f t="shared" si="29"/>
        <v>1.154739813299773</v>
      </c>
      <c r="F87" s="24">
        <f t="shared" si="30"/>
        <v>129.51738062291886</v>
      </c>
      <c r="G87" s="24">
        <f t="shared" si="31"/>
        <v>1.4592575411800373</v>
      </c>
      <c r="H87" s="24">
        <f t="shared" si="32"/>
        <v>-3.054521578744273</v>
      </c>
      <c r="J87" s="24">
        <f t="shared" si="33"/>
        <v>0.21274358443424193</v>
      </c>
      <c r="K87" s="24">
        <f t="shared" si="45"/>
        <v>-0.5549480736447449</v>
      </c>
      <c r="L87" s="28">
        <f t="shared" si="46"/>
        <v>2.9920410509215816</v>
      </c>
      <c r="M87" s="24">
        <v>40</v>
      </c>
      <c r="N87" s="11">
        <v>13000</v>
      </c>
      <c r="O87" s="24">
        <f t="shared" si="34"/>
        <v>-82650.11885080804</v>
      </c>
      <c r="P87" s="24">
        <f t="shared" si="35"/>
        <v>-2.487937961556914E-10</v>
      </c>
      <c r="Q87" s="24">
        <f t="shared" si="36"/>
        <v>-82650.11885080779</v>
      </c>
      <c r="R87" s="26">
        <f t="shared" si="25"/>
        <v>0.9992523607034977</v>
      </c>
      <c r="S87" s="24">
        <f t="shared" si="37"/>
        <v>360</v>
      </c>
      <c r="T87" s="27">
        <f t="shared" si="38"/>
        <v>756.7855836325662</v>
      </c>
      <c r="U87" s="24">
        <f t="shared" si="39"/>
        <v>-4886.595189985134</v>
      </c>
      <c r="V87" s="27">
        <f t="shared" si="40"/>
        <v>-4886.5951899853835</v>
      </c>
      <c r="W87" s="27">
        <f t="shared" si="41"/>
        <v>-77763.52366082266</v>
      </c>
      <c r="X87" s="24">
        <f t="shared" si="42"/>
        <v>-48601.52185684066</v>
      </c>
      <c r="Y87" s="24">
        <f t="shared" si="47"/>
        <v>-990.4281592131905</v>
      </c>
      <c r="Z87" s="24">
        <f t="shared" si="48"/>
        <v>-38874.26183041133</v>
      </c>
      <c r="AA87" s="24">
        <f t="shared" si="49"/>
        <v>0</v>
      </c>
      <c r="AB87" s="33">
        <f t="shared" si="43"/>
        <v>6047165612.147325</v>
      </c>
    </row>
    <row r="88" spans="26:27" ht="12.75">
      <c r="Z88" s="24">
        <f>SUM(Z15:Z87)</f>
        <v>-727824.943973026</v>
      </c>
      <c r="AA88" s="24">
        <f>SUM(AA15:AA87)</f>
        <v>9576566.262944326</v>
      </c>
    </row>
    <row r="89" spans="24:26" ht="12.75">
      <c r="X89" s="24" t="s">
        <v>80</v>
      </c>
      <c r="Y89" s="33">
        <f>SUM(Y16:Y87)</f>
        <v>60485.36881755703</v>
      </c>
      <c r="Z89" s="24" t="s">
        <v>68</v>
      </c>
    </row>
    <row r="90" spans="24:26" ht="12.75">
      <c r="X90" s="24" t="s">
        <v>70</v>
      </c>
      <c r="Y90" s="33">
        <f>Y89*E11/33000</f>
        <v>10.997339785010368</v>
      </c>
      <c r="Z90" s="24" t="s">
        <v>69</v>
      </c>
    </row>
    <row r="91" spans="24:25" ht="12.75">
      <c r="X91" s="24" t="s">
        <v>104</v>
      </c>
      <c r="Y91" s="33">
        <f>SQRT(SUM(AB15:AB87)/73)/SUM(W15:W87)*73</f>
        <v>1.68739608525086</v>
      </c>
    </row>
    <row r="92" spans="24:26" ht="12.75">
      <c r="X92" s="24" t="s">
        <v>91</v>
      </c>
      <c r="Y92" s="33">
        <f>Y91*Y90/0.9/0.9</f>
        <v>22.90971370543214</v>
      </c>
      <c r="Z92" s="24" t="s">
        <v>132</v>
      </c>
    </row>
    <row r="94" spans="21:26" ht="12.75">
      <c r="U94" s="24" t="s">
        <v>112</v>
      </c>
      <c r="Y94" s="33">
        <f>-100*Z88/(AA88-Z88)</f>
        <v>7.063250311036679</v>
      </c>
      <c r="Z94" s="24" t="s">
        <v>101</v>
      </c>
    </row>
  </sheetData>
  <sheetProtection/>
  <mergeCells count="2">
    <mergeCell ref="E1:H1"/>
    <mergeCell ref="F2:G2"/>
  </mergeCells>
  <printOptions gridLines="1"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7"/>
  <sheetViews>
    <sheetView zoomScalePageLayoutView="0" workbookViewId="0" topLeftCell="N1">
      <selection activeCell="AO34" sqref="AO34"/>
    </sheetView>
  </sheetViews>
  <sheetFormatPr defaultColWidth="9.140625" defaultRowHeight="12.75"/>
  <cols>
    <col min="17" max="17" width="12.421875" style="0" customWidth="1"/>
    <col min="20" max="20" width="12.8515625" style="0" customWidth="1"/>
  </cols>
  <sheetData>
    <row r="1" spans="1:2" ht="12.75">
      <c r="A1" t="s">
        <v>61</v>
      </c>
      <c r="B1" t="s">
        <v>62</v>
      </c>
    </row>
    <row r="2" spans="1:22" ht="12.75">
      <c r="A2" t="s">
        <v>11</v>
      </c>
      <c r="B2" s="2" t="s">
        <v>54</v>
      </c>
      <c r="C2" s="2"/>
      <c r="D2" s="2"/>
      <c r="E2" s="2"/>
      <c r="F2" s="2"/>
      <c r="G2" s="3" t="s">
        <v>58</v>
      </c>
      <c r="H2" s="3"/>
      <c r="I2" s="3"/>
      <c r="J2" s="3"/>
      <c r="K2" s="3"/>
      <c r="L2" s="4" t="s">
        <v>59</v>
      </c>
      <c r="M2" s="4"/>
      <c r="N2" s="4"/>
      <c r="O2" s="4"/>
      <c r="P2" s="4"/>
      <c r="Q2" s="37" t="s">
        <v>137</v>
      </c>
      <c r="R2" s="38"/>
      <c r="S2" s="38"/>
      <c r="T2" s="39" t="s">
        <v>140</v>
      </c>
      <c r="U2" s="40"/>
      <c r="V2" s="40"/>
    </row>
    <row r="3" spans="1:22" ht="12.75">
      <c r="A3" t="s">
        <v>52</v>
      </c>
      <c r="B3" s="2" t="s">
        <v>55</v>
      </c>
      <c r="C3" s="2" t="s">
        <v>60</v>
      </c>
      <c r="D3" s="2" t="s">
        <v>56</v>
      </c>
      <c r="E3" s="2" t="s">
        <v>57</v>
      </c>
      <c r="F3" s="34" t="s">
        <v>92</v>
      </c>
      <c r="G3" s="3" t="s">
        <v>55</v>
      </c>
      <c r="H3" s="3" t="s">
        <v>60</v>
      </c>
      <c r="I3" s="3" t="s">
        <v>56</v>
      </c>
      <c r="J3" s="3" t="s">
        <v>57</v>
      </c>
      <c r="K3" s="35" t="s">
        <v>92</v>
      </c>
      <c r="L3" s="4" t="s">
        <v>55</v>
      </c>
      <c r="M3" s="4" t="s">
        <v>60</v>
      </c>
      <c r="N3" s="4" t="s">
        <v>56</v>
      </c>
      <c r="O3" s="4" t="s">
        <v>57</v>
      </c>
      <c r="P3" s="36" t="s">
        <v>92</v>
      </c>
      <c r="Q3" s="37" t="s">
        <v>138</v>
      </c>
      <c r="R3" s="37" t="s">
        <v>139</v>
      </c>
      <c r="S3" s="37" t="s">
        <v>60</v>
      </c>
      <c r="T3" s="39" t="s">
        <v>138</v>
      </c>
      <c r="U3" s="39" t="s">
        <v>92</v>
      </c>
      <c r="V3" s="39" t="s">
        <v>60</v>
      </c>
    </row>
    <row r="4" spans="1:22" ht="12.75">
      <c r="A4" t="s">
        <v>53</v>
      </c>
      <c r="B4" s="2"/>
      <c r="C4" s="2"/>
      <c r="D4" s="2"/>
      <c r="E4" s="2"/>
      <c r="F4" s="2"/>
      <c r="G4" s="3"/>
      <c r="H4" s="3"/>
      <c r="I4" s="3"/>
      <c r="J4" s="3"/>
      <c r="K4" s="3"/>
      <c r="L4" s="4"/>
      <c r="M4" s="4"/>
      <c r="N4" s="4"/>
      <c r="O4" s="4"/>
      <c r="P4" s="4"/>
      <c r="Q4" s="38"/>
      <c r="R4" s="38"/>
      <c r="S4" s="38"/>
      <c r="T4" s="40"/>
      <c r="U4" s="40"/>
      <c r="V4" s="40"/>
    </row>
    <row r="5" spans="1:22" ht="12.75">
      <c r="A5">
        <v>0</v>
      </c>
      <c r="B5">
        <f>Conventional!J15</f>
        <v>0.020809490799972963</v>
      </c>
      <c r="C5">
        <f>'Mark II'!I15</f>
        <v>7.01678808834423</v>
      </c>
      <c r="D5">
        <f>'Air Balanced'!I15</f>
        <v>0.005581621084018343</v>
      </c>
      <c r="E5">
        <f>RM!I15</f>
        <v>2.627797205454612</v>
      </c>
      <c r="F5">
        <f>'Beam Balanced'!J15</f>
        <v>0.21274358443424193</v>
      </c>
      <c r="G5">
        <f>Conventional!K15</f>
        <v>-0.203108196135651</v>
      </c>
      <c r="H5">
        <f>'Mark II'!J15</f>
        <v>1.2068646803080614</v>
      </c>
      <c r="I5">
        <f>'Air Balanced'!J15</f>
        <v>-0.10417643839336056</v>
      </c>
      <c r="J5">
        <f>RM!J15</f>
        <v>-1.2458301754991683</v>
      </c>
      <c r="K5">
        <f>'Beam Balanced'!K15</f>
        <v>-0.5549480736447449</v>
      </c>
      <c r="L5">
        <f>Conventional!L15</f>
        <v>1.7458308742973272</v>
      </c>
      <c r="M5">
        <f>'Mark II'!K15</f>
        <v>1.4169727687886218</v>
      </c>
      <c r="N5">
        <f>'Air Balanced'!K15</f>
        <v>2.155450277235847</v>
      </c>
      <c r="O5">
        <f>RM!K15</f>
        <v>2.4121551660715665</v>
      </c>
      <c r="P5">
        <f>'Beam Balanced'!L15</f>
        <v>2.9920410509215785</v>
      </c>
      <c r="Q5">
        <f>Conventional!D15</f>
        <v>-1.5113686743568417</v>
      </c>
      <c r="R5">
        <f>'Beam Balanced'!D15</f>
        <v>-6.4570405352193925</v>
      </c>
      <c r="S5">
        <f>'Mark II'!C15</f>
        <v>24.90309806348898</v>
      </c>
      <c r="T5">
        <f>Conventional!Q15</f>
        <v>-20252.34023638168</v>
      </c>
      <c r="U5">
        <f>'Beam Balanced'!Q15</f>
        <v>-82650.11885080823</v>
      </c>
      <c r="V5">
        <f>'Mark II'!P15</f>
        <v>-39271.100926788524</v>
      </c>
    </row>
    <row r="6" spans="1:22" ht="12.75">
      <c r="A6">
        <f>A5+5</f>
        <v>5</v>
      </c>
      <c r="B6">
        <f>Conventional!J16</f>
        <v>0.09881661989291968</v>
      </c>
      <c r="C6">
        <f>'Mark II'!I16</f>
        <v>9.349347283964606</v>
      </c>
      <c r="D6">
        <f>'Air Balanced'!I16</f>
        <v>0.32527675390581073</v>
      </c>
      <c r="E6">
        <f>RM!I16</f>
        <v>1.1377676967697448</v>
      </c>
      <c r="F6">
        <f>'Beam Balanced'!J16</f>
        <v>0.023822806502582533</v>
      </c>
      <c r="G6">
        <f>Conventional!K16</f>
        <v>0.046804277455768026</v>
      </c>
      <c r="H6">
        <f>'Mark II'!J16</f>
        <v>1.3995355173722261</v>
      </c>
      <c r="I6">
        <f>'Air Balanced'!J16</f>
        <v>0.19181707969307546</v>
      </c>
      <c r="J6">
        <f>RM!J16</f>
        <v>-0.8940177052109205</v>
      </c>
      <c r="K6">
        <f>'Beam Balanced'!K16</f>
        <v>-0.11335246675899563</v>
      </c>
      <c r="L6">
        <f>Conventional!L16</f>
        <v>1.799316741847615</v>
      </c>
      <c r="M6">
        <f>'Mark II'!K16</f>
        <v>1.3872855182827175</v>
      </c>
      <c r="N6">
        <f>'Air Balanced'!K16</f>
        <v>2.13123857976553</v>
      </c>
      <c r="O6">
        <f>RM!K16</f>
        <v>2.533151112119869</v>
      </c>
      <c r="P6">
        <f>'Beam Balanced'!L16</f>
        <v>3.179394598346166</v>
      </c>
      <c r="Q6">
        <f>Conventional!D16</f>
        <v>3.3125420148813847</v>
      </c>
      <c r="R6">
        <f>'Beam Balanced'!D16</f>
        <v>2.1929639054623995</v>
      </c>
      <c r="S6">
        <f>'Mark II'!C16</f>
        <v>28.543625253756385</v>
      </c>
      <c r="T6">
        <f>Conventional!Q16</f>
        <v>-17427.566419433148</v>
      </c>
      <c r="U6">
        <f>'Beam Balanced'!Q16</f>
        <v>-62179.047840454616</v>
      </c>
      <c r="V6">
        <f>'Mark II'!P16</f>
        <v>-72691.15816189838</v>
      </c>
    </row>
    <row r="7" spans="1:22" ht="12.75">
      <c r="A7">
        <f aca="true" t="shared" si="0" ref="A7:A70">A6+5</f>
        <v>10</v>
      </c>
      <c r="B7">
        <f>Conventional!J17</f>
        <v>0.6002647157945118</v>
      </c>
      <c r="C7">
        <f>'Mark II'!I17</f>
        <v>11.996101557095635</v>
      </c>
      <c r="D7">
        <f>'Air Balanced'!I17</f>
        <v>1.12942743117082</v>
      </c>
      <c r="E7">
        <f>RM!I17</f>
        <v>0.2572154555468846</v>
      </c>
      <c r="F7">
        <f>'Beam Balanced'!J17</f>
        <v>0.604912099919433</v>
      </c>
      <c r="G7">
        <f>Conventional!K17</f>
        <v>0.30086885754095527</v>
      </c>
      <c r="H7">
        <f>'Mark II'!J17</f>
        <v>1.588052563878617</v>
      </c>
      <c r="I7">
        <f>'Air Balanced'!J17</f>
        <v>0.4824904063590054</v>
      </c>
      <c r="J7">
        <f>RM!J17</f>
        <v>-0.5283313447337161</v>
      </c>
      <c r="K7">
        <f>'Beam Balanced'!K17</f>
        <v>0.34865357605011027</v>
      </c>
      <c r="L7">
        <f>Conventional!L17</f>
        <v>1.8292110269179376</v>
      </c>
      <c r="M7">
        <f>'Mark II'!K17</f>
        <v>1.3573770299272108</v>
      </c>
      <c r="N7">
        <f>'Air Balanced'!K17</f>
        <v>2.092931669261466</v>
      </c>
      <c r="O7">
        <f>RM!K17</f>
        <v>2.6330471173205643</v>
      </c>
      <c r="P7">
        <f>'Beam Balanced'!L17</f>
        <v>3.326345402912027</v>
      </c>
      <c r="Q7">
        <f>Conventional!D17</f>
        <v>8.181098181922307</v>
      </c>
      <c r="R7">
        <f>'Beam Balanced'!D17</f>
        <v>11.165523219302806</v>
      </c>
      <c r="S7">
        <f>'Mark II'!C17</f>
        <v>32.103535934172115</v>
      </c>
      <c r="T7">
        <f>Conventional!Q17</f>
        <v>-14799.06861240181</v>
      </c>
      <c r="U7">
        <f>'Beam Balanced'!Q17</f>
        <v>-42329.45332795114</v>
      </c>
      <c r="V7">
        <f>'Mark II'!P17</f>
        <v>-74938.60397307086</v>
      </c>
    </row>
    <row r="8" spans="1:22" ht="12.75">
      <c r="A8">
        <f t="shared" si="0"/>
        <v>15</v>
      </c>
      <c r="B8">
        <f>Conventional!J18</f>
        <v>1.52576172119435</v>
      </c>
      <c r="C8">
        <f>'Mark II'!I18</f>
        <v>14.949815622599576</v>
      </c>
      <c r="D8">
        <f>'Air Balanced'!I18</f>
        <v>2.406441894753237</v>
      </c>
      <c r="E8">
        <f>RM!I18</f>
        <v>0.003117215346530304</v>
      </c>
      <c r="F8">
        <f>'Beam Balanced'!J18</f>
        <v>1.977062424566754</v>
      </c>
      <c r="G8">
        <f>Conventional!K18</f>
        <v>0.555298203239903</v>
      </c>
      <c r="H8">
        <f>'Mark II'!J18</f>
        <v>1.772228439302365</v>
      </c>
      <c r="I8">
        <f>'Air Balanced'!J18</f>
        <v>0.7662086781494503</v>
      </c>
      <c r="J8">
        <f>RM!J18</f>
        <v>-0.15245894412021255</v>
      </c>
      <c r="K8">
        <f>'Beam Balanced'!K18</f>
        <v>0.8232901947883926</v>
      </c>
      <c r="L8">
        <f>Conventional!L18</f>
        <v>1.8318372618803533</v>
      </c>
      <c r="M8">
        <f>'Mark II'!K18</f>
        <v>1.3261193478248996</v>
      </c>
      <c r="N8">
        <f>'Air Balanced'!K18</f>
        <v>2.042853271022044</v>
      </c>
      <c r="O8">
        <f>RM!K18</f>
        <v>2.7063895399988254</v>
      </c>
      <c r="P8">
        <f>'Beam Balanced'!L18</f>
        <v>3.417282867544946</v>
      </c>
      <c r="Q8">
        <f>Conventional!D18</f>
        <v>13.01759715323694</v>
      </c>
      <c r="R8">
        <f>'Beam Balanced'!D18</f>
        <v>20.29105228885996</v>
      </c>
      <c r="S8">
        <f>'Mark II'!C18</f>
        <v>35.577725939371255</v>
      </c>
      <c r="T8">
        <f>Conventional!Q18</f>
        <v>-3866.788308730407</v>
      </c>
      <c r="U8">
        <f>'Beam Balanced'!Q18</f>
        <v>-7127.721190968587</v>
      </c>
      <c r="V8">
        <f>'Mark II'!P18</f>
        <v>-67386.29437118082</v>
      </c>
    </row>
    <row r="9" spans="1:22" ht="12.75">
      <c r="A9">
        <f t="shared" si="0"/>
        <v>20</v>
      </c>
      <c r="B9">
        <f>Conventional!J19</f>
        <v>2.868909166526797</v>
      </c>
      <c r="C9">
        <f>'Mark II'!I19</f>
        <v>18.20267449688973</v>
      </c>
      <c r="D9">
        <f>'Air Balanced'!I19</f>
        <v>4.142534909212671</v>
      </c>
      <c r="E9">
        <f>RM!I19</f>
        <v>0.38504087086796</v>
      </c>
      <c r="F9">
        <f>'Beam Balanced'!J19</f>
        <v>4.1447835854901065</v>
      </c>
      <c r="G9">
        <f>Conventional!K19</f>
        <v>0.8058884671994683</v>
      </c>
      <c r="H9">
        <f>'Mark II'!J19</f>
        <v>1.951715324574093</v>
      </c>
      <c r="I9">
        <f>'Air Balanced'!J19</f>
        <v>1.0416558086756602</v>
      </c>
      <c r="J9">
        <f>RM!J19</f>
        <v>0.2291541933128578</v>
      </c>
      <c r="K9">
        <f>'Beam Balanced'!K19</f>
        <v>1.3006326965540111</v>
      </c>
      <c r="L9">
        <f>Conventional!L19</f>
        <v>1.8041966885719327</v>
      </c>
      <c r="M9">
        <f>'Mark II'!K19</f>
        <v>1.2923572682471711</v>
      </c>
      <c r="N9">
        <f>'Air Balanced'!K19</f>
        <v>1.983298671735581</v>
      </c>
      <c r="O9">
        <f>RM!K19</f>
        <v>2.7477244984980462</v>
      </c>
      <c r="P9">
        <f>'Beam Balanced'!L19</f>
        <v>3.436764650757283</v>
      </c>
      <c r="Q9">
        <f>Conventional!D19</f>
        <v>17.738653147387392</v>
      </c>
      <c r="R9">
        <f>'Beam Balanced'!D19</f>
        <v>29.36108570532673</v>
      </c>
      <c r="S9">
        <f>'Mark II'!C19</f>
        <v>38.95801193452198</v>
      </c>
      <c r="T9">
        <f>Conventional!Q19</f>
        <v>12613.353693918703</v>
      </c>
      <c r="U9">
        <f>'Beam Balanced'!Q19</f>
        <v>40292.13168666989</v>
      </c>
      <c r="V9">
        <f>'Mark II'!P19</f>
        <v>-23443.545857331366</v>
      </c>
    </row>
    <row r="10" spans="1:22" ht="12.75">
      <c r="A10">
        <f t="shared" si="0"/>
        <v>25</v>
      </c>
      <c r="B10">
        <f>Conventional!J20</f>
        <v>4.615862061955157</v>
      </c>
      <c r="C10">
        <f>'Mark II'!I20</f>
        <v>21.746015383954173</v>
      </c>
      <c r="D10">
        <f>'Air Balanced'!I20</f>
        <v>6.32221562234921</v>
      </c>
      <c r="E10">
        <f>RM!I20</f>
        <v>1.403991004028743</v>
      </c>
      <c r="F10">
        <f>'Beam Balanced'!J20</f>
        <v>7.0930254555867</v>
      </c>
      <c r="G10">
        <f>Conventional!K20</f>
        <v>1.0481717372570163</v>
      </c>
      <c r="H10">
        <f>'Mark II'!J20</f>
        <v>2.1260045322386656</v>
      </c>
      <c r="I10">
        <f>'Air Balanced'!J20</f>
        <v>1.3078084278819238</v>
      </c>
      <c r="J10">
        <f>RM!J20</f>
        <v>0.6113700798964699</v>
      </c>
      <c r="K10">
        <f>'Beam Balanced'!K20</f>
        <v>1.7689451220579562</v>
      </c>
      <c r="L10">
        <f>Conventional!L20</f>
        <v>1.7443880964375424</v>
      </c>
      <c r="M10">
        <f>'Mark II'!K20</f>
        <v>1.2549324924846217</v>
      </c>
      <c r="N10">
        <f>'Air Balanced'!K20</f>
        <v>1.9163755133056295</v>
      </c>
      <c r="O10">
        <f>RM!K20</f>
        <v>2.752064465980646</v>
      </c>
      <c r="P10">
        <f>'Beam Balanced'!L20</f>
        <v>3.371750019177294</v>
      </c>
      <c r="Q10">
        <f>Conventional!D20</f>
        <v>22.257650574207485</v>
      </c>
      <c r="R10">
        <f>'Beam Balanced'!D20</f>
        <v>38.13801753004243</v>
      </c>
      <c r="S10">
        <f>'Mark II'!C20</f>
        <v>42.233155816469704</v>
      </c>
      <c r="T10">
        <f>Conventional!Q20</f>
        <v>33616.14996876597</v>
      </c>
      <c r="U10">
        <f>'Beam Balanced'!Q20</f>
        <v>97194.18904693442</v>
      </c>
      <c r="V10">
        <f>'Mark II'!P20</f>
        <v>-21847.83731964149</v>
      </c>
    </row>
    <row r="11" spans="1:22" ht="12.75">
      <c r="A11">
        <f t="shared" si="0"/>
        <v>30</v>
      </c>
      <c r="B11">
        <f>Conventional!J21</f>
        <v>6.745232007474388</v>
      </c>
      <c r="C11">
        <f>'Mark II'!I21</f>
        <v>25.57006457520167</v>
      </c>
      <c r="D11">
        <f>'Air Balanced'!I21</f>
        <v>8.928703106124578</v>
      </c>
      <c r="E11">
        <f>RM!I21</f>
        <v>3.0514877264456377</v>
      </c>
      <c r="F11">
        <f>'Beam Balanced'!J21</f>
        <v>10.785311265740729</v>
      </c>
      <c r="G11">
        <f>Conventional!K21</f>
        <v>1.2776219673115383</v>
      </c>
      <c r="H11">
        <f>'Mark II'!J21</f>
        <v>2.294429514748498</v>
      </c>
      <c r="I11">
        <f>'Air Balanced'!J21</f>
        <v>1.5638924902652205</v>
      </c>
      <c r="J11">
        <f>RM!J21</f>
        <v>0.9884980334501368</v>
      </c>
      <c r="K11">
        <f>'Beam Balanced'!K21</f>
        <v>2.215371486092417</v>
      </c>
      <c r="L11">
        <f>Conventional!L21</f>
        <v>1.6519929334654233</v>
      </c>
      <c r="M11">
        <f>'Mark II'!K21</f>
        <v>1.2127083824060902</v>
      </c>
      <c r="N11">
        <f>'Air Balanced'!K21</f>
        <v>1.8438790043199091</v>
      </c>
      <c r="O11">
        <f>RM!K21</f>
        <v>2.715429882781713</v>
      </c>
      <c r="P11">
        <f>'Beam Balanced'!L21</f>
        <v>3.2141750240230698</v>
      </c>
      <c r="Q11">
        <f>Conventional!D21</f>
        <v>26.489108727889285</v>
      </c>
      <c r="R11">
        <f>'Beam Balanced'!D21</f>
        <v>46.37167163854714</v>
      </c>
      <c r="S11">
        <f>'Mark II'!C21</f>
        <v>45.3889553288981</v>
      </c>
      <c r="T11">
        <f>Conventional!Q21</f>
        <v>48640.90271456796</v>
      </c>
      <c r="U11">
        <f>'Beam Balanced'!Q21</f>
        <v>143841.07006022654</v>
      </c>
      <c r="V11">
        <f>'Mark II'!P21</f>
        <v>-735.2976747907232</v>
      </c>
    </row>
    <row r="12" spans="1:22" ht="12.75">
      <c r="A12">
        <f t="shared" si="0"/>
        <v>35</v>
      </c>
      <c r="B12">
        <f>Conventional!J22</f>
        <v>9.22839761111763</v>
      </c>
      <c r="C12">
        <f>'Mark II'!I22</f>
        <v>29.66368513690365</v>
      </c>
      <c r="D12">
        <f>'Air Balanced'!I22</f>
        <v>11.94424964674457</v>
      </c>
      <c r="E12">
        <f>RM!I22</f>
        <v>5.309007331311625</v>
      </c>
      <c r="F12">
        <f>'Beam Balanced'!J22</f>
        <v>15.163566327033157</v>
      </c>
      <c r="G12">
        <f>Conventional!K22</f>
        <v>1.4898993621859455</v>
      </c>
      <c r="H12">
        <f>'Mark II'!J22</f>
        <v>2.4561723370211874</v>
      </c>
      <c r="I12">
        <f>'Air Balanced'!J22</f>
        <v>1.8093279243719953</v>
      </c>
      <c r="J12">
        <f>RM!J22</f>
        <v>1.354511762919592</v>
      </c>
      <c r="K12">
        <f>'Beam Balanced'!K22</f>
        <v>2.6269530367754568</v>
      </c>
      <c r="L12">
        <f>Conventional!L22</f>
        <v>1.5283521667580848</v>
      </c>
      <c r="M12">
        <f>'Mark II'!K22</f>
        <v>1.1645949041595294</v>
      </c>
      <c r="N12">
        <f>'Air Balanced'!K22</f>
        <v>1.7672058138013305</v>
      </c>
      <c r="O12">
        <f>RM!K22</f>
        <v>2.635404268350811</v>
      </c>
      <c r="P12">
        <f>'Beam Balanced'!L22</f>
        <v>2.963299767063022</v>
      </c>
      <c r="Q12">
        <f>Conventional!D22</f>
        <v>30.353572073878873</v>
      </c>
      <c r="R12">
        <f>'Beam Balanced'!D22</f>
        <v>53.821166109595325</v>
      </c>
      <c r="S12">
        <f>'Mark II'!C22</f>
        <v>48.40840039214375</v>
      </c>
      <c r="T12">
        <f>Conventional!Q22</f>
        <v>62896.387603271636</v>
      </c>
      <c r="U12">
        <f>'Beam Balanced'!Q22</f>
        <v>187255.05363253213</v>
      </c>
      <c r="V12">
        <f>'Mark II'!P22</f>
        <v>65548.20166708785</v>
      </c>
    </row>
    <row r="13" spans="1:22" ht="12.75">
      <c r="A13">
        <f t="shared" si="0"/>
        <v>40</v>
      </c>
      <c r="B13">
        <f>Conventional!J23</f>
        <v>12.030245059114206</v>
      </c>
      <c r="C13">
        <f>'Mark II'!I23</f>
        <v>34.01414099620368</v>
      </c>
      <c r="D13">
        <f>'Air Balanced'!I23</f>
        <v>15.35036043995017</v>
      </c>
      <c r="E13">
        <f>RM!I23</f>
        <v>8.147896621907346</v>
      </c>
      <c r="F13">
        <f>'Beam Balanced'!J23</f>
        <v>20.149967198547838</v>
      </c>
      <c r="G13">
        <f>Conventional!K23</f>
        <v>1.6811084687979454</v>
      </c>
      <c r="H13">
        <f>'Mark II'!J23</f>
        <v>2.610273515580018</v>
      </c>
      <c r="I13">
        <f>'Air Balanced'!J23</f>
        <v>2.0436664759233603</v>
      </c>
      <c r="J13">
        <f>RM!J23</f>
        <v>1.7033335743574332</v>
      </c>
      <c r="K13">
        <f>'Beam Balanced'!K23</f>
        <v>2.9918405229088085</v>
      </c>
      <c r="L13">
        <f>Conventional!L23</f>
        <v>1.3766649650436251</v>
      </c>
      <c r="M13">
        <f>'Mark II'!K23</f>
        <v>1.1095728685383222</v>
      </c>
      <c r="N13">
        <f>'Air Balanced'!K23</f>
        <v>1.6873050633723623</v>
      </c>
      <c r="O13">
        <f>RM!K23</f>
        <v>2.5116175070527387</v>
      </c>
      <c r="P13">
        <f>'Beam Balanced'!L23</f>
        <v>2.627112417621128</v>
      </c>
      <c r="Q13">
        <f>Conventional!D23</f>
        <v>33.78247719344975</v>
      </c>
      <c r="R13">
        <f>'Beam Balanced'!D23</f>
        <v>60.278651864666344</v>
      </c>
      <c r="S13">
        <f>'Mark II'!C23</f>
        <v>51.271891765460374</v>
      </c>
      <c r="T13">
        <f>Conventional!Q23</f>
        <v>67003.1325197313</v>
      </c>
      <c r="U13">
        <f>'Beam Balanced'!Q23</f>
        <v>209322.71611338912</v>
      </c>
      <c r="V13">
        <f>'Mark II'!P23</f>
        <v>39068.99416244379</v>
      </c>
    </row>
    <row r="14" spans="1:22" ht="12.75">
      <c r="A14">
        <f t="shared" si="0"/>
        <v>45</v>
      </c>
      <c r="B14">
        <f>Conventional!J24</f>
        <v>15.110309720602862</v>
      </c>
      <c r="C14">
        <f>'Mark II'!I24</f>
        <v>38.60688258993639</v>
      </c>
      <c r="D14">
        <f>'Air Balanced'!I24</f>
        <v>19.127905700275754</v>
      </c>
      <c r="E14">
        <f>RM!I24</f>
        <v>11.52983421934536</v>
      </c>
      <c r="F14">
        <f>'Beam Balanced'!J24</f>
        <v>25.650778529724434</v>
      </c>
      <c r="G14">
        <f>Conventional!K24</f>
        <v>1.8480387968931937</v>
      </c>
      <c r="H14">
        <f>'Mark II'!J24</f>
        <v>2.7556449562396264</v>
      </c>
      <c r="I14">
        <f>'Air Balanced'!J24</f>
        <v>2.26652715619535</v>
      </c>
      <c r="J14">
        <f>RM!J24</f>
        <v>2.029162558462809</v>
      </c>
      <c r="K14">
        <f>'Beam Balanced'!K24</f>
        <v>3.3004867987059576</v>
      </c>
      <c r="L14">
        <f>Conventional!L24</f>
        <v>1.2018629152338902</v>
      </c>
      <c r="M14">
        <f>'Mark II'!K24</f>
        <v>1.0467162413988356</v>
      </c>
      <c r="N14">
        <f>'Air Balanced'!K24</f>
        <v>1.6046610844017017</v>
      </c>
      <c r="O14">
        <f>RM!K24</f>
        <v>2.346062528059827</v>
      </c>
      <c r="P14">
        <f>'Beam Balanced'!L24</f>
        <v>2.2221876458182317</v>
      </c>
      <c r="Q14">
        <f>Conventional!D24</f>
        <v>36.72237311886565</v>
      </c>
      <c r="R14">
        <f>'Beam Balanced'!D24</f>
        <v>65.59033131210637</v>
      </c>
      <c r="S14">
        <f>'Mark II'!C24</f>
        <v>53.957515118654236</v>
      </c>
      <c r="T14">
        <f>Conventional!Q24</f>
        <v>99276.64786912431</v>
      </c>
      <c r="U14">
        <f>'Beam Balanced'!Q24</f>
        <v>277364.04024355544</v>
      </c>
      <c r="V14">
        <f>'Mark II'!P24</f>
        <v>592.2082317736931</v>
      </c>
    </row>
    <row r="15" spans="1:22" ht="12.75">
      <c r="A15">
        <f t="shared" si="0"/>
        <v>50</v>
      </c>
      <c r="B15">
        <f>Conventional!J25</f>
        <v>18.424236521119294</v>
      </c>
      <c r="C15">
        <f>'Mark II'!I25</f>
        <v>43.42535847561464</v>
      </c>
      <c r="D15">
        <f>'Air Balanced'!I25</f>
        <v>23.257126946767194</v>
      </c>
      <c r="E15">
        <f>RM!I25</f>
        <v>15.407854650743316</v>
      </c>
      <c r="F15">
        <f>'Beam Balanced'!J25</f>
        <v>31.56174155654908</v>
      </c>
      <c r="G15">
        <f>Conventional!K25</f>
        <v>1.9883560803098594</v>
      </c>
      <c r="H15">
        <f>'Mark II'!J25</f>
        <v>2.891085531406948</v>
      </c>
      <c r="I15">
        <f>'Air Balanced'!J25</f>
        <v>2.4775327478948643</v>
      </c>
      <c r="J15">
        <f>RM!J25</f>
        <v>2.326812258838773</v>
      </c>
      <c r="K15">
        <f>'Beam Balanced'!K25</f>
        <v>3.5465778160947874</v>
      </c>
      <c r="L15">
        <f>Conventional!L25</f>
        <v>1.0102546447319556</v>
      </c>
      <c r="M15">
        <f>'Mark II'!K25</f>
        <v>0.9752111496507028</v>
      </c>
      <c r="N15">
        <f>'Air Balanced'!K25</f>
        <v>1.5193010322777944</v>
      </c>
      <c r="O15">
        <f>RM!K25</f>
        <v>2.1431635692497117</v>
      </c>
      <c r="P15">
        <f>'Beam Balanced'!L25</f>
        <v>1.7718030686613864</v>
      </c>
      <c r="Q15">
        <f>Conventional!D25</f>
        <v>39.13792244161225</v>
      </c>
      <c r="R15">
        <f>'Beam Balanced'!D25</f>
        <v>69.6703708803763</v>
      </c>
      <c r="S15">
        <f>'Mark II'!C25</f>
        <v>56.4413599358981</v>
      </c>
      <c r="T15">
        <f>Conventional!Q25</f>
        <v>131617.84297411656</v>
      </c>
      <c r="U15">
        <f>'Beam Balanced'!Q25</f>
        <v>340397.16276448837</v>
      </c>
      <c r="V15">
        <f>'Mark II'!P25</f>
        <v>3869.7118876164313</v>
      </c>
    </row>
    <row r="16" spans="1:22" ht="12.75">
      <c r="A16">
        <f t="shared" si="0"/>
        <v>55</v>
      </c>
      <c r="B16">
        <f>Conventional!J26</f>
        <v>21.925433738564006</v>
      </c>
      <c r="C16">
        <f>'Mark II'!I26</f>
        <v>48.45085623674428</v>
      </c>
      <c r="D16">
        <f>'Air Balanced'!I26</f>
        <v>27.717543430509487</v>
      </c>
      <c r="E16">
        <f>RM!I26</f>
        <v>19.7278832709065</v>
      </c>
      <c r="F16">
        <f>'Beam Balanced'!J26</f>
        <v>37.774259835918826</v>
      </c>
      <c r="G16">
        <f>Conventional!K26</f>
        <v>2.1007183304668278</v>
      </c>
      <c r="H16">
        <f>'Mark II'!J26</f>
        <v>3.0152986566777855</v>
      </c>
      <c r="I16">
        <f>'Air Balanced'!J26</f>
        <v>2.6762498902453755</v>
      </c>
      <c r="J16">
        <f>RM!J26</f>
        <v>2.5920171720979104</v>
      </c>
      <c r="K16">
        <f>'Beam Balanced'!K26</f>
        <v>3.727510967621848</v>
      </c>
      <c r="L16">
        <f>Conventional!L26</f>
        <v>0.8089843414124197</v>
      </c>
      <c r="M16">
        <f>'Mark II'!K26</f>
        <v>0.8943702767610996</v>
      </c>
      <c r="N16">
        <f>'Air Balanced'!K26</f>
        <v>1.4308206577499907</v>
      </c>
      <c r="O16">
        <f>RM!K26</f>
        <v>1.9095517575360907</v>
      </c>
      <c r="P16">
        <f>'Beam Balanced'!L26</f>
        <v>1.302680270493989</v>
      </c>
      <c r="Q16">
        <f>Conventional!D26</f>
        <v>41.013287405089415</v>
      </c>
      <c r="R16">
        <f>'Beam Balanced'!D26</f>
        <v>72.50501166460529</v>
      </c>
      <c r="S16">
        <f>'Mark II'!C26</f>
        <v>58.69786949830472</v>
      </c>
      <c r="T16">
        <f>Conventional!Q26</f>
        <v>190361.21888280218</v>
      </c>
      <c r="U16">
        <f>'Beam Balanced'!Q26</f>
        <v>444352.4841653878</v>
      </c>
      <c r="V16">
        <f>'Mark II'!P26</f>
        <v>10332.93052560254</v>
      </c>
    </row>
    <row r="17" spans="1:22" ht="12.75">
      <c r="A17">
        <f t="shared" si="0"/>
        <v>60</v>
      </c>
      <c r="B17">
        <f>Conventional!J27</f>
        <v>25.566771438639726</v>
      </c>
      <c r="C17">
        <f>'Mark II'!I27</f>
        <v>53.66237471174387</v>
      </c>
      <c r="D17">
        <f>'Air Balanced'!I27</f>
        <v>32.487767645288045</v>
      </c>
      <c r="E17">
        <f>RM!I27</f>
        <v>24.43066490202419</v>
      </c>
      <c r="F17">
        <f>'Beam Balanced'!J27</f>
        <v>44.18150115878726</v>
      </c>
      <c r="G17">
        <f>Conventional!K27</f>
        <v>2.1848026200454322</v>
      </c>
      <c r="H17">
        <f>'Mark II'!J27</f>
        <v>3.1269110849997563</v>
      </c>
      <c r="I17">
        <f>'Air Balanced'!J27</f>
        <v>2.862134528867135</v>
      </c>
      <c r="J17">
        <f>RM!J27</f>
        <v>2.8216689786706146</v>
      </c>
      <c r="K17">
        <f>'Beam Balanced'!K27</f>
        <v>3.8443447937210617</v>
      </c>
      <c r="L17">
        <f>Conventional!L27</f>
        <v>0.6053890299709351</v>
      </c>
      <c r="M17">
        <f>'Mark II'!K27</f>
        <v>0.8036416295833733</v>
      </c>
      <c r="N17">
        <f>'Air Balanced'!K27</f>
        <v>1.338422934994069</v>
      </c>
      <c r="O17">
        <f>RM!K27</f>
        <v>1.6535591496894577</v>
      </c>
      <c r="P17">
        <f>'Beam Balanced'!L27</f>
        <v>0.8411787386735958</v>
      </c>
      <c r="Q17">
        <f>Conventional!D27</f>
        <v>42.35176905794182</v>
      </c>
      <c r="R17">
        <f>'Beam Balanced'!D27</f>
        <v>74.14673359510887</v>
      </c>
      <c r="S17">
        <f>'Mark II'!C27</f>
        <v>60.700206052369985</v>
      </c>
      <c r="T17">
        <f>Conventional!Q27</f>
        <v>191372.00179234182</v>
      </c>
      <c r="U17">
        <f>'Beam Balanced'!Q27</f>
        <v>440482.71664873</v>
      </c>
      <c r="V17">
        <f>'Mark II'!P27</f>
        <v>-1450.4545345471706</v>
      </c>
    </row>
    <row r="18" spans="1:22" ht="12.75">
      <c r="A18">
        <f t="shared" si="0"/>
        <v>65</v>
      </c>
      <c r="B18">
        <f>Conventional!J28</f>
        <v>29.302176749261413</v>
      </c>
      <c r="C18">
        <f>'Mark II'!I28</f>
        <v>59.036528148102015</v>
      </c>
      <c r="D18">
        <f>'Air Balanced'!I28</f>
        <v>37.54524107677026</v>
      </c>
      <c r="E18">
        <f>RM!I28</f>
        <v>29.453920028839082</v>
      </c>
      <c r="F18">
        <f>'Beam Balanced'!J28</f>
        <v>50.68363110663184</v>
      </c>
      <c r="G18">
        <f>Conventional!K28</f>
        <v>2.241243186373012</v>
      </c>
      <c r="H18">
        <f>'Mark II'!J28</f>
        <v>3.2244920618148853</v>
      </c>
      <c r="I18">
        <f>'Air Balanced'!J28</f>
        <v>3.0344840588893294</v>
      </c>
      <c r="J18">
        <f>RM!J28</f>
        <v>3.013953076088935</v>
      </c>
      <c r="K18">
        <f>'Beam Balanced'!K28</f>
        <v>3.9012779687067476</v>
      </c>
      <c r="L18">
        <f>Conventional!L28</f>
        <v>0.40636009260828604</v>
      </c>
      <c r="M18">
        <f>'Mark II'!K28</f>
        <v>0.7026111375144294</v>
      </c>
      <c r="N18">
        <f>'Air Balanced'!K28</f>
        <v>1.2409662548099907</v>
      </c>
      <c r="O18">
        <f>RM!K28</f>
        <v>1.3845008814471649</v>
      </c>
      <c r="P18">
        <f>'Beam Balanced'!L28</f>
        <v>0.40990677034298145</v>
      </c>
      <c r="Q18">
        <f>Conventional!D28</f>
        <v>43.17385090382451</v>
      </c>
      <c r="R18">
        <f>'Beam Balanced'!D28</f>
        <v>74.70071828526989</v>
      </c>
      <c r="S18">
        <f>'Mark II'!C28</f>
        <v>62.420614611654734</v>
      </c>
      <c r="T18">
        <f>Conventional!Q28</f>
        <v>200739.57438551937</v>
      </c>
      <c r="U18">
        <f>'Beam Balanced'!Q28</f>
        <v>446792.8087827702</v>
      </c>
      <c r="V18">
        <f>'Mark II'!P28</f>
        <v>-5449.807990625966</v>
      </c>
    </row>
    <row r="19" spans="1:22" ht="12.75">
      <c r="A19">
        <f t="shared" si="0"/>
        <v>70</v>
      </c>
      <c r="B19">
        <f>Conventional!J29</f>
        <v>33.08800209102774</v>
      </c>
      <c r="C19">
        <f>'Mark II'!I29</f>
        <v>64.54748147293596</v>
      </c>
      <c r="D19">
        <f>'Air Balanced'!I29</f>
        <v>42.86590329496754</v>
      </c>
      <c r="E19">
        <f>RM!I29</f>
        <v>34.73453960494965</v>
      </c>
      <c r="F19">
        <f>'Beam Balanced'!J29</f>
        <v>57.19165894703341</v>
      </c>
      <c r="G19">
        <f>Conventional!K29</f>
        <v>2.2714952050597956</v>
      </c>
      <c r="H19">
        <f>'Mark II'!J29</f>
        <v>3.3065719949003647</v>
      </c>
      <c r="I19">
        <f>'Air Balanced'!J29</f>
        <v>3.192397330918366</v>
      </c>
      <c r="J19">
        <f>RM!J29</f>
        <v>3.168371745666342</v>
      </c>
      <c r="K19">
        <f>'Beam Balanced'!K29</f>
        <v>3.90481670424094</v>
      </c>
      <c r="L19">
        <f>Conventional!L29</f>
        <v>0.21780811063800268</v>
      </c>
      <c r="M19">
        <f>'Mark II'!K29</f>
        <v>0.5909991581817785</v>
      </c>
      <c r="N19">
        <f>'Air Balanced'!K29</f>
        <v>1.137021039450643</v>
      </c>
      <c r="O19">
        <f>RM!K29</f>
        <v>1.111858895313143</v>
      </c>
      <c r="P19">
        <f>'Beam Balanced'!L29</f>
        <v>0.025478144408483946</v>
      </c>
      <c r="Q19">
        <f>Conventional!D29</f>
        <v>43.51402999724081</v>
      </c>
      <c r="R19">
        <f>'Beam Balanced'!D29</f>
        <v>74.30723182573264</v>
      </c>
      <c r="S19">
        <f>'Mark II'!C29</f>
        <v>63.830769917505386</v>
      </c>
      <c r="T19">
        <f>Conventional!Q29</f>
        <v>239855.5417209915</v>
      </c>
      <c r="U19">
        <f>'Beam Balanced'!Q29</f>
        <v>500213.1194681034</v>
      </c>
      <c r="V19">
        <f>'Mark II'!P29</f>
        <v>-1226.213591977954</v>
      </c>
    </row>
    <row r="20" spans="1:22" ht="12.75">
      <c r="A20">
        <f t="shared" si="0"/>
        <v>75</v>
      </c>
      <c r="B20">
        <f>Conventional!J30</f>
        <v>36.88408240668052</v>
      </c>
      <c r="C20">
        <f>'Mark II'!I30</f>
        <v>70.1669146327823</v>
      </c>
      <c r="D20">
        <f>'Air Balanced'!I30</f>
        <v>48.42380963139041</v>
      </c>
      <c r="E20">
        <f>RM!I30</f>
        <v>40.21063663310363</v>
      </c>
      <c r="F20">
        <f>'Beam Balanced'!J30</f>
        <v>63.629705262717245</v>
      </c>
      <c r="G20">
        <f>Conventional!K30</f>
        <v>2.277648189391668</v>
      </c>
      <c r="H20">
        <f>'Mark II'!J30</f>
        <v>3.3716598959078024</v>
      </c>
      <c r="I20">
        <f>'Air Balanced'!J30</f>
        <v>3.3347438018537243</v>
      </c>
      <c r="J20">
        <f>RM!J30</f>
        <v>3.2856582168923882</v>
      </c>
      <c r="K20">
        <f>'Beam Balanced'!K30</f>
        <v>3.8628277894103005</v>
      </c>
      <c r="L20">
        <f>Conventional!L30</f>
        <v>0.0443001806254931</v>
      </c>
      <c r="M20">
        <f>'Mark II'!K30</f>
        <v>0.46865163331888393</v>
      </c>
      <c r="N20">
        <f>'Air Balanced'!K30</f>
        <v>1.0249355881581048</v>
      </c>
      <c r="O20">
        <f>RM!K30</f>
        <v>0.8444963726824397</v>
      </c>
      <c r="P20">
        <f>'Beam Balanced'!L30</f>
        <v>-0.3023112705862852</v>
      </c>
      <c r="Q20">
        <f>Conventional!D30</f>
        <v>43.41694828587043</v>
      </c>
      <c r="R20">
        <f>'Beam Balanced'!D30</f>
        <v>73.12363571667406</v>
      </c>
      <c r="S20">
        <f>'Mark II'!C30</f>
        <v>64.90209393918516</v>
      </c>
      <c r="T20">
        <f>Conventional!Q30</f>
        <v>186570.93793344707</v>
      </c>
      <c r="U20">
        <f>'Beam Balanced'!Q30</f>
        <v>393960.13402520935</v>
      </c>
      <c r="V20">
        <f>'Mark II'!P30</f>
        <v>69856.87317433511</v>
      </c>
    </row>
    <row r="21" spans="1:22" ht="12.75">
      <c r="A21">
        <f t="shared" si="0"/>
        <v>80</v>
      </c>
      <c r="B21">
        <f>Conventional!J31</f>
        <v>40.654443605136265</v>
      </c>
      <c r="C21">
        <f>'Mark II'!I31</f>
        <v>75.86401303802046</v>
      </c>
      <c r="D21">
        <f>'Air Balanced'!I31</f>
        <v>54.19071535927082</v>
      </c>
      <c r="E21">
        <f>RM!I31</f>
        <v>45.823305966659646</v>
      </c>
      <c r="F21">
        <f>'Beam Balanced'!J31</f>
        <v>69.93579025818417</v>
      </c>
      <c r="G21">
        <f>Conventional!K31</f>
        <v>2.2622167190734475</v>
      </c>
      <c r="H21">
        <f>'Mark II'!J31</f>
        <v>3.4182590431428994</v>
      </c>
      <c r="I21">
        <f>'Air Balanced'!J31</f>
        <v>3.4601434367282433</v>
      </c>
      <c r="J21">
        <f>RM!J31</f>
        <v>3.3676016001336078</v>
      </c>
      <c r="K21">
        <f>'Beam Balanced'!K31</f>
        <v>3.783650997280155</v>
      </c>
      <c r="L21">
        <f>Conventional!L31</f>
        <v>-0.11110330947423268</v>
      </c>
      <c r="M21">
        <f>'Mark II'!K31</f>
        <v>0.33552728118394615</v>
      </c>
      <c r="N21">
        <f>'Air Balanced'!K31</f>
        <v>0.9029134876360422</v>
      </c>
      <c r="O21">
        <f>RM!K31</f>
        <v>0.5900159599751795</v>
      </c>
      <c r="P21">
        <f>'Beam Balanced'!L31</f>
        <v>-0.5700560904313776</v>
      </c>
      <c r="Q21">
        <f>Conventional!D31</f>
        <v>42.93335107881674</v>
      </c>
      <c r="R21">
        <f>'Beam Balanced'!D31</f>
        <v>71.3088349391568</v>
      </c>
      <c r="S21">
        <f>'Mark II'!C31</f>
        <v>65.60603574866879</v>
      </c>
      <c r="T21">
        <f>Conventional!Q31</f>
        <v>121437.82244753069</v>
      </c>
      <c r="U21">
        <f>'Beam Balanced'!Q31</f>
        <v>269361.0567420083</v>
      </c>
      <c r="V21">
        <f>'Mark II'!P31</f>
        <v>144081.9074525917</v>
      </c>
    </row>
    <row r="22" spans="1:22" ht="12.75">
      <c r="A22">
        <f t="shared" si="0"/>
        <v>85</v>
      </c>
      <c r="B22">
        <f>Conventional!J32</f>
        <v>44.36766741037762</v>
      </c>
      <c r="C22">
        <f>'Mark II'!I32</f>
        <v>81.6054806764786</v>
      </c>
      <c r="D22">
        <f>'Air Balanced'!I32</f>
        <v>60.1356477251158</v>
      </c>
      <c r="E22">
        <f>RM!I32</f>
        <v>51.517993909824966</v>
      </c>
      <c r="F22">
        <f>'Beam Balanced'!J32</f>
        <v>76.06143061030522</v>
      </c>
      <c r="G22">
        <f>Conventional!K32</f>
        <v>2.2279342831448137</v>
      </c>
      <c r="H22">
        <f>'Mark II'!J32</f>
        <v>3.444880583074888</v>
      </c>
      <c r="I22">
        <f>'Air Balanced'!J32</f>
        <v>3.5669594195069902</v>
      </c>
      <c r="J22">
        <f>RM!J32</f>
        <v>3.416812765899192</v>
      </c>
      <c r="K22">
        <f>'Beam Balanced'!K32</f>
        <v>3.675384211272632</v>
      </c>
      <c r="L22">
        <f>Conventional!L32</f>
        <v>-0.24682625893478757</v>
      </c>
      <c r="M22">
        <f>'Mark II'!K32</f>
        <v>0.1916827548205097</v>
      </c>
      <c r="N22">
        <f>'Air Balanced'!K32</f>
        <v>0.7691058402405875</v>
      </c>
      <c r="O22">
        <f>RM!K32</f>
        <v>0.35433456689488085</v>
      </c>
      <c r="P22">
        <f>'Beam Balanced'!L32</f>
        <v>-0.779497869193424</v>
      </c>
      <c r="Q22">
        <f>Conventional!D32</f>
        <v>42.1163176671238</v>
      </c>
      <c r="R22">
        <f>'Beam Balanced'!D32</f>
        <v>69.01166479538139</v>
      </c>
      <c r="S22">
        <f>'Mark II'!C32</f>
        <v>65.91431131857574</v>
      </c>
      <c r="T22">
        <f>Conventional!Q32</f>
        <v>88145.31106095156</v>
      </c>
      <c r="U22">
        <f>'Beam Balanced'!Q32</f>
        <v>199656.64255661122</v>
      </c>
      <c r="V22">
        <f>'Mark II'!P32</f>
        <v>226607.25782599347</v>
      </c>
    </row>
    <row r="23" spans="1:22" ht="12.75">
      <c r="A23">
        <f t="shared" si="0"/>
        <v>90</v>
      </c>
      <c r="B23">
        <f>Conventional!J33</f>
        <v>47.99695087268917</v>
      </c>
      <c r="C23">
        <f>'Mark II'!I33</f>
        <v>87.35557252779962</v>
      </c>
      <c r="D23">
        <f>'Air Balanced'!I33</f>
        <v>66.22449139501296</v>
      </c>
      <c r="E23">
        <f>RM!I33</f>
        <v>57.24543454434376</v>
      </c>
      <c r="F23">
        <f>'Beam Balanced'!J33</f>
        <v>81.97040927808841</v>
      </c>
      <c r="G23">
        <f>Conventional!K33</f>
        <v>2.177570077386929</v>
      </c>
      <c r="H23">
        <f>'Mark II'!J33</f>
        <v>3.4500551107926096</v>
      </c>
      <c r="I23">
        <f>'Air Balanced'!J33</f>
        <v>3.6533062019382956</v>
      </c>
      <c r="J23">
        <f>RM!J33</f>
        <v>3.4364643807112754</v>
      </c>
      <c r="K23">
        <f>'Beam Balanced'!K33</f>
        <v>3.5453872006699125</v>
      </c>
      <c r="L23">
        <f>Conventional!L33</f>
        <v>-0.36261158679968913</v>
      </c>
      <c r="M23">
        <f>'Mark II'!K33</f>
        <v>0.03725808989119228</v>
      </c>
      <c r="N23">
        <f>'Air Balanced'!K33</f>
        <v>0.6217217023734933</v>
      </c>
      <c r="O23">
        <f>RM!K33</f>
        <v>0.1414972865384631</v>
      </c>
      <c r="P23">
        <f>'Beam Balanced'!L33</f>
        <v>-0.9359508719441795</v>
      </c>
      <c r="Q23">
        <f>Conventional!D33</f>
        <v>41.018071317100926</v>
      </c>
      <c r="R23">
        <f>'Beam Balanced'!D33</f>
        <v>66.36351849168116</v>
      </c>
      <c r="S23">
        <f>'Mark II'!C33</f>
        <v>65.79910733122175</v>
      </c>
      <c r="T23">
        <f>Conventional!Q33</f>
        <v>55374.39627808635</v>
      </c>
      <c r="U23">
        <f>'Beam Balanced'!Q33</f>
        <v>132727.0369833624</v>
      </c>
      <c r="V23">
        <f>'Mark II'!P33</f>
        <v>266486.3846914482</v>
      </c>
    </row>
    <row r="24" spans="1:22" ht="12.75">
      <c r="A24">
        <f t="shared" si="0"/>
        <v>95</v>
      </c>
      <c r="B24">
        <f>Conventional!J34</f>
        <v>51.519918983697785</v>
      </c>
      <c r="C24">
        <f>'Mark II'!I34</f>
        <v>93.07614356782318</v>
      </c>
      <c r="D24">
        <f>'Air Balanced'!I34</f>
        <v>72.41961768774433</v>
      </c>
      <c r="E24">
        <f>RM!I34</f>
        <v>62.96215980553714</v>
      </c>
      <c r="F24">
        <f>'Beam Balanced'!J34</f>
        <v>87.63707028286673</v>
      </c>
      <c r="G24">
        <f>Conventional!K34</f>
        <v>2.11378086660517</v>
      </c>
      <c r="H24">
        <f>'Mark II'!J34</f>
        <v>3.432342624014135</v>
      </c>
      <c r="I24">
        <f>'Air Balanced'!J34</f>
        <v>3.7170757756388237</v>
      </c>
      <c r="J24">
        <f>RM!J34</f>
        <v>3.4300351567160288</v>
      </c>
      <c r="K24">
        <f>'Beam Balanced'!K34</f>
        <v>3.3999966028669917</v>
      </c>
      <c r="L24">
        <f>Conventional!L34</f>
        <v>-0.4592687722202843</v>
      </c>
      <c r="M24">
        <f>'Mark II'!K34</f>
        <v>-0.12753500620526687</v>
      </c>
      <c r="N24">
        <f>'Air Balanced'!K34</f>
        <v>0.45915929701568337</v>
      </c>
      <c r="O24">
        <f>RM!K34</f>
        <v>-0.046292264456353704</v>
      </c>
      <c r="P24">
        <f>'Beam Balanced'!L34</f>
        <v>-1.0467814310130161</v>
      </c>
      <c r="Q24">
        <f>Conventional!D34</f>
        <v>39.68752500158256</v>
      </c>
      <c r="R24">
        <f>'Beam Balanced'!D34</f>
        <v>63.4747028627988</v>
      </c>
      <c r="S24">
        <f>'Mark II'!C34</f>
        <v>65.23326001499517</v>
      </c>
      <c r="T24">
        <f>Conventional!Q34</f>
        <v>10328.327930032741</v>
      </c>
      <c r="U24">
        <f>'Beam Balanced'!Q34</f>
        <v>48529.46320640785</v>
      </c>
      <c r="V24">
        <f>'Mark II'!P34</f>
        <v>305404.138978119</v>
      </c>
    </row>
    <row r="25" spans="1:22" ht="12.75">
      <c r="A25">
        <f t="shared" si="0"/>
        <v>100</v>
      </c>
      <c r="B25">
        <f>Conventional!J35</f>
        <v>54.91825653628824</v>
      </c>
      <c r="C25">
        <f>'Mark II'!I35</f>
        <v>98.7267129175954</v>
      </c>
      <c r="D25">
        <f>'Air Balanced'!I35</f>
        <v>78.67959290708731</v>
      </c>
      <c r="E25">
        <f>RM!I35</f>
        <v>68.63062818059883</v>
      </c>
      <c r="F25">
        <f>'Beam Balanced'!J35</f>
        <v>93.04442596049674</v>
      </c>
      <c r="G25">
        <f>Conventional!K35</f>
        <v>2.0390025315542726</v>
      </c>
      <c r="H25">
        <f>'Mark II'!J35</f>
        <v>3.390341609863336</v>
      </c>
      <c r="I25">
        <f>'Air Balanced'!J35</f>
        <v>3.755985131605786</v>
      </c>
      <c r="J25">
        <f>RM!J35</f>
        <v>3.4010810250370156</v>
      </c>
      <c r="K25">
        <f>'Beam Balanced'!K35</f>
        <v>3.244413406578005</v>
      </c>
      <c r="L25">
        <f>Conventional!L35</f>
        <v>-0.5383881334572578</v>
      </c>
      <c r="M25">
        <f>'Mark II'!K35</f>
        <v>-0.30241939866169715</v>
      </c>
      <c r="N25">
        <f>'Air Balanced'!K35</f>
        <v>0.2801585693049017</v>
      </c>
      <c r="O25">
        <f>RM!K35</f>
        <v>-0.20847808721238334</v>
      </c>
      <c r="P25">
        <f>'Beam Balanced'!L35</f>
        <v>-1.120165975751241</v>
      </c>
      <c r="Q25">
        <f>Conventional!D35</f>
        <v>38.16858821519275</v>
      </c>
      <c r="R25">
        <f>'Beam Balanced'!D35</f>
        <v>60.43362193625657</v>
      </c>
      <c r="S25">
        <f>'Mark II'!C35</f>
        <v>64.19042697001643</v>
      </c>
      <c r="T25">
        <f>Conventional!Q35</f>
        <v>-27303.555387459113</v>
      </c>
      <c r="U25">
        <f>'Beam Balanced'!Q35</f>
        <v>-20911.529807626037</v>
      </c>
      <c r="V25">
        <f>'Mark II'!P35</f>
        <v>339136.35569562204</v>
      </c>
    </row>
    <row r="26" spans="1:22" ht="12.75">
      <c r="A26">
        <f t="shared" si="0"/>
        <v>105</v>
      </c>
      <c r="B26">
        <f>Conventional!J36</f>
        <v>58.17722319506147</v>
      </c>
      <c r="C26">
        <f>'Mark II'!I36</f>
        <v>104.26454355387212</v>
      </c>
      <c r="D26">
        <f>'Air Balanced'!I36</f>
        <v>84.95900538972383</v>
      </c>
      <c r="E26">
        <f>RM!I36</f>
        <v>74.21903972386532</v>
      </c>
      <c r="F26">
        <f>'Beam Balanced'!J36</f>
        <v>98.1822811673748</v>
      </c>
      <c r="G26">
        <f>Conventional!K36</f>
        <v>1.9553799952639395</v>
      </c>
      <c r="H26">
        <f>'Mark II'!J36</f>
        <v>3.322698381766026</v>
      </c>
      <c r="I26">
        <f>'Air Balanced'!J36</f>
        <v>3.7676474895819094</v>
      </c>
      <c r="J26">
        <f>RM!J36</f>
        <v>3.3530469259598927</v>
      </c>
      <c r="K26">
        <f>'Beam Balanced'!K36</f>
        <v>3.082713124126835</v>
      </c>
      <c r="L26">
        <f>Conventional!L36</f>
        <v>-0.6020645043470219</v>
      </c>
      <c r="M26">
        <f>'Mark II'!K36</f>
        <v>-0.4870507243296071</v>
      </c>
      <c r="N26">
        <f>'Air Balanced'!K36</f>
        <v>0.08397233632154025</v>
      </c>
      <c r="O26">
        <f>RM!K36</f>
        <v>-0.34585934772919374</v>
      </c>
      <c r="P26">
        <f>'Beam Balanced'!L36</f>
        <v>-1.1642076971778148</v>
      </c>
      <c r="Q26">
        <f>Conventional!D36</f>
        <v>36.49916654774855</v>
      </c>
      <c r="R26">
        <f>'Beam Balanced'!D36</f>
        <v>57.30782930362668</v>
      </c>
      <c r="S26">
        <f>'Mark II'!C36</f>
        <v>62.64527664538689</v>
      </c>
      <c r="T26">
        <f>Conventional!Q36</f>
        <v>-57131.52742936311</v>
      </c>
      <c r="U26">
        <f>'Beam Balanced'!Q36</f>
        <v>-75300.51445096137</v>
      </c>
      <c r="V26">
        <f>'Mark II'!P36</f>
        <v>369984.0359107107</v>
      </c>
    </row>
    <row r="27" spans="1:22" ht="12.75">
      <c r="A27">
        <f t="shared" si="0"/>
        <v>110</v>
      </c>
      <c r="B27">
        <f>Conventional!J37</f>
        <v>61.285107187169295</v>
      </c>
      <c r="C27">
        <f>'Mark II'!I37</f>
        <v>109.64474042833032</v>
      </c>
      <c r="D27">
        <f>'Air Balanced'!I37</f>
        <v>91.20845347421877</v>
      </c>
      <c r="E27">
        <f>RM!I37</f>
        <v>79.7009136684517</v>
      </c>
      <c r="F27">
        <f>'Beam Balanced'!J37</f>
        <v>103.04550009356818</v>
      </c>
      <c r="G27">
        <f>Conventional!K37</f>
        <v>1.8647303952646936</v>
      </c>
      <c r="H27">
        <f>'Mark II'!J37</f>
        <v>3.2281181246749244</v>
      </c>
      <c r="I27">
        <f>'Air Balanced'!J37</f>
        <v>3.7496688506969664</v>
      </c>
      <c r="J27">
        <f>RM!J37</f>
        <v>3.28912436675183</v>
      </c>
      <c r="K27">
        <f>'Beam Balanced'!K37</f>
        <v>2.9179313557160302</v>
      </c>
      <c r="L27">
        <f>Conventional!L37</f>
        <v>-0.6526578708796117</v>
      </c>
      <c r="M27">
        <f>'Mark II'!K37</f>
        <v>-0.6810050912595804</v>
      </c>
      <c r="N27">
        <f>'Air Balanced'!K37</f>
        <v>-0.12945137802671067</v>
      </c>
      <c r="O27">
        <f>RM!K37</f>
        <v>-0.46026083673152124</v>
      </c>
      <c r="P27">
        <f>'Beam Balanced'!L37</f>
        <v>-1.1863937417447832</v>
      </c>
      <c r="Q27">
        <f>Conventional!D37</f>
        <v>34.71073274679072</v>
      </c>
      <c r="R27">
        <f>'Beam Balanced'!D37</f>
        <v>54.146122674296684</v>
      </c>
      <c r="S27">
        <f>'Mark II'!C37</f>
        <v>60.573726432432856</v>
      </c>
      <c r="T27">
        <f>Conventional!Q37</f>
        <v>-47827.014687908115</v>
      </c>
      <c r="U27">
        <f>'Beam Balanced'!Q37</f>
        <v>-66131.6099666704</v>
      </c>
      <c r="V27">
        <f>'Mark II'!P37</f>
        <v>356520.84921493044</v>
      </c>
    </row>
    <row r="28" spans="1:22" ht="12.75">
      <c r="A28">
        <f t="shared" si="0"/>
        <v>115</v>
      </c>
      <c r="B28">
        <f>Conventional!J38</f>
        <v>64.23266142795633</v>
      </c>
      <c r="C28">
        <f>'Mark II'!I38</f>
        <v>114.82037280248704</v>
      </c>
      <c r="D28">
        <f>'Air Balanced'!I38</f>
        <v>97.3747361391928</v>
      </c>
      <c r="E28">
        <f>RM!I38</f>
        <v>85.05450228419606</v>
      </c>
      <c r="F28">
        <f>'Beam Balanced'!J38</f>
        <v>107.632478016023</v>
      </c>
      <c r="G28">
        <f>Conventional!K38</f>
        <v>1.7685325444722209</v>
      </c>
      <c r="H28">
        <f>'Mark II'!J38</f>
        <v>3.105379424494032</v>
      </c>
      <c r="I28">
        <f>'Air Balanced'!J38</f>
        <v>3.6997695989844206</v>
      </c>
      <c r="J28">
        <f>RM!J38</f>
        <v>3.212153169446614</v>
      </c>
      <c r="K28">
        <f>'Beam Balanced'!K38</f>
        <v>2.752186753472893</v>
      </c>
      <c r="L28">
        <f>Conventional!L38</f>
        <v>-0.6926040984398407</v>
      </c>
      <c r="M28">
        <f>'Mark II'!K38</f>
        <v>-0.8837539914620836</v>
      </c>
      <c r="N28">
        <f>'Air Balanced'!K38</f>
        <v>-0.35928898388968555</v>
      </c>
      <c r="O28">
        <f>RM!K38</f>
        <v>-0.5542147891891231</v>
      </c>
      <c r="P28">
        <f>'Beam Balanced'!L38</f>
        <v>-1.1933259408832917</v>
      </c>
      <c r="Q28">
        <f>Conventional!D38</f>
        <v>32.82832979115311</v>
      </c>
      <c r="R28">
        <f>'Beam Balanced'!D38</f>
        <v>50.98106092638656</v>
      </c>
      <c r="S28">
        <f>'Mark II'!C38</f>
        <v>57.95326615840723</v>
      </c>
      <c r="T28">
        <f>Conventional!Q38</f>
        <v>-37467.603372469195</v>
      </c>
      <c r="U28">
        <f>'Beam Balanced'!Q38</f>
        <v>-53552.30008909723</v>
      </c>
      <c r="V28">
        <f>'Mark II'!P38</f>
        <v>341655.63961919</v>
      </c>
    </row>
    <row r="29" spans="1:22" ht="12.75">
      <c r="A29">
        <f t="shared" si="0"/>
        <v>120</v>
      </c>
      <c r="B29">
        <f>Conventional!J39</f>
        <v>67.01255386368776</v>
      </c>
      <c r="C29">
        <f>'Mark II'!I39</f>
        <v>119.74263004875534</v>
      </c>
      <c r="D29">
        <f>'Air Balanced'!I39</f>
        <v>103.40128312561774</v>
      </c>
      <c r="E29">
        <f>RM!I39</f>
        <v>90.26210464046949</v>
      </c>
      <c r="F29">
        <f>'Beam Balanced'!J39</f>
        <v>111.94383545387322</v>
      </c>
      <c r="G29">
        <f>Conventional!K39</f>
        <v>1.667935461438856</v>
      </c>
      <c r="H29">
        <f>'Mark II'!J39</f>
        <v>2.953354347760981</v>
      </c>
      <c r="I29">
        <f>'Air Balanced'!J39</f>
        <v>3.6159281918549593</v>
      </c>
      <c r="J29">
        <f>RM!J39</f>
        <v>3.124561413764056</v>
      </c>
      <c r="K29">
        <f>'Beam Balanced'!K39</f>
        <v>2.586814462710132</v>
      </c>
      <c r="L29">
        <f>Conventional!L39</f>
        <v>-0.7242776364131963</v>
      </c>
      <c r="M29">
        <f>'Mark II'!K39</f>
        <v>-1.094624337451466</v>
      </c>
      <c r="N29">
        <f>'Air Balanced'!K39</f>
        <v>-0.6036822786232663</v>
      </c>
      <c r="O29">
        <f>RM!K39</f>
        <v>-0.630685868349152</v>
      </c>
      <c r="P29">
        <f>'Beam Balanced'!L39</f>
        <v>-1.1906453772835803</v>
      </c>
      <c r="Q29">
        <f>Conventional!D39</f>
        <v>30.870872903740754</v>
      </c>
      <c r="R29">
        <f>'Beam Balanced'!D39</f>
        <v>47.83149099863647</v>
      </c>
      <c r="S29">
        <f>'Mark II'!C39</f>
        <v>54.76340900694142</v>
      </c>
      <c r="T29">
        <f>Conventional!Q39</f>
        <v>-22963.574735332048</v>
      </c>
      <c r="U29">
        <f>'Beam Balanced'!Q39</f>
        <v>-32711.750668342458</v>
      </c>
      <c r="V29">
        <f>'Mark II'!P39</f>
        <v>325351.49722126394</v>
      </c>
    </row>
    <row r="30" spans="1:22" ht="12.75">
      <c r="A30">
        <f t="shared" si="0"/>
        <v>125</v>
      </c>
      <c r="B30">
        <f>Conventional!J40</f>
        <v>69.61885303535284</v>
      </c>
      <c r="C30">
        <f>'Mark II'!I40</f>
        <v>124.36102403626954</v>
      </c>
      <c r="D30">
        <f>'Air Balanced'!I40</f>
        <v>109.22885069627667</v>
      </c>
      <c r="E30">
        <f>RM!I40</f>
        <v>95.30933020566658</v>
      </c>
      <c r="F30">
        <f>'Beam Balanced'!J40</f>
        <v>115.98132397368089</v>
      </c>
      <c r="G30">
        <f>Conventional!K40</f>
        <v>1.5637795029990516</v>
      </c>
      <c r="H30">
        <f>'Mark II'!J40</f>
        <v>2.7710363925085177</v>
      </c>
      <c r="I30">
        <f>'Air Balanced'!J40</f>
        <v>3.4965405423953566</v>
      </c>
      <c r="J30">
        <f>RM!J40</f>
        <v>3.0283353391182573</v>
      </c>
      <c r="K30">
        <f>'Beam Balanced'!K40</f>
        <v>2.4224931118846005</v>
      </c>
      <c r="L30">
        <f>Conventional!L40</f>
        <v>-0.7499007836252297</v>
      </c>
      <c r="M30">
        <f>'Mark II'!K40</f>
        <v>-1.3127417874892346</v>
      </c>
      <c r="N30">
        <f>'Air Balanced'!K40</f>
        <v>-0.8596254611275844</v>
      </c>
      <c r="O30">
        <f>RM!K40</f>
        <v>-0.6928554516678164</v>
      </c>
      <c r="P30">
        <f>'Beam Balanced'!L40</f>
        <v>-1.1830788328988249</v>
      </c>
      <c r="Q30">
        <f>Conventional!D40</f>
        <v>28.851638177078055</v>
      </c>
      <c r="R30">
        <f>'Beam Balanced'!D40</f>
        <v>44.70484332294983</v>
      </c>
      <c r="S30">
        <f>'Mark II'!C40</f>
        <v>50.98631632936105</v>
      </c>
      <c r="T30">
        <f>Conventional!Q40</f>
        <v>-26653.05134044285</v>
      </c>
      <c r="U30">
        <f>'Beam Balanced'!Q40</f>
        <v>-38224.75214930577</v>
      </c>
      <c r="V30">
        <f>'Mark II'!P40</f>
        <v>341815.2991449449</v>
      </c>
    </row>
    <row r="31" spans="1:22" ht="12.75">
      <c r="A31">
        <f t="shared" si="0"/>
        <v>130</v>
      </c>
      <c r="B31">
        <f>Conventional!J41</f>
        <v>72.04656121529909</v>
      </c>
      <c r="C31">
        <f>'Mark II'!I41</f>
        <v>128.62365542359157</v>
      </c>
      <c r="D31">
        <f>'Air Balanced'!I41</f>
        <v>114.79649210771932</v>
      </c>
      <c r="E31">
        <f>RM!I41</f>
        <v>100.1843475782197</v>
      </c>
      <c r="F31">
        <f>'Beam Balanced'!J41</f>
        <v>119.74691766510257</v>
      </c>
      <c r="G31">
        <f>Conventional!K41</f>
        <v>1.4566249079677505</v>
      </c>
      <c r="H31">
        <f>'Mark II'!J41</f>
        <v>2.5575788323932187</v>
      </c>
      <c r="I31">
        <f>'Air Balanced'!J41</f>
        <v>3.3405848468655908</v>
      </c>
      <c r="J31">
        <f>RM!J41</f>
        <v>2.9250104235318704</v>
      </c>
      <c r="K31">
        <f>'Beam Balanced'!K41</f>
        <v>2.2593562148530113</v>
      </c>
      <c r="L31">
        <f>Conventional!L41</f>
        <v>-0.7714903303343585</v>
      </c>
      <c r="M31">
        <f>'Mark II'!K41</f>
        <v>-1.5369559110665958</v>
      </c>
      <c r="N31">
        <f>'Air Balanced'!K41</f>
        <v>-1.1229259248513082</v>
      </c>
      <c r="O31">
        <f>RM!K41</f>
        <v>-0.7439691509880252</v>
      </c>
      <c r="P31">
        <f>'Beam Balanced'!L41</f>
        <v>-1.1745510170969173</v>
      </c>
      <c r="Q31">
        <f>Conventional!D41</f>
        <v>26.778852310349922</v>
      </c>
      <c r="R31">
        <f>'Beam Balanced'!D41</f>
        <v>41.599080700780384</v>
      </c>
      <c r="S31">
        <f>'Mark II'!C41</f>
        <v>46.607645941273034</v>
      </c>
      <c r="T31">
        <f>Conventional!Q41</f>
        <v>-27297.683168288786</v>
      </c>
      <c r="U31">
        <f>'Beam Balanced'!Q41</f>
        <v>-37348.65339166031</v>
      </c>
      <c r="V31">
        <f>'Mark II'!P41</f>
        <v>351404.72370060976</v>
      </c>
    </row>
    <row r="32" spans="1:22" ht="12.75">
      <c r="A32">
        <f t="shared" si="0"/>
        <v>135</v>
      </c>
      <c r="B32">
        <f>Conventional!J42</f>
        <v>74.29120121039311</v>
      </c>
      <c r="C32">
        <f>'Mark II'!I42</f>
        <v>132.47756556734666</v>
      </c>
      <c r="D32">
        <f>'Air Balanced'!I42</f>
        <v>120.04278870113816</v>
      </c>
      <c r="E32">
        <f>RM!I42</f>
        <v>104.8771399605022</v>
      </c>
      <c r="F32">
        <f>'Beam Balanced'!J42</f>
        <v>123.24205826415539</v>
      </c>
      <c r="G32">
        <f>Conventional!K42</f>
        <v>1.3467839970564115</v>
      </c>
      <c r="H32">
        <f>'Mark II'!J42</f>
        <v>2.3123460862530525</v>
      </c>
      <c r="I32">
        <f>'Air Balanced'!J42</f>
        <v>3.147777956051309</v>
      </c>
      <c r="J32">
        <f>RM!J42</f>
        <v>2.815675429369503</v>
      </c>
      <c r="K32">
        <f>'Beam Balanced'!K42</f>
        <v>2.0970843594316904</v>
      </c>
      <c r="L32">
        <f>Conventional!L42</f>
        <v>-0.7908312342411662</v>
      </c>
      <c r="M32">
        <f>'Mark II'!K42</f>
        <v>-1.7657464020652793</v>
      </c>
      <c r="N32">
        <f>'Air Balanced'!K42</f>
        <v>-1.3882651444686085</v>
      </c>
      <c r="O32">
        <f>RM!K42</f>
        <v>-0.7872434477069516</v>
      </c>
      <c r="P32">
        <f>'Beam Balanced'!L42</f>
        <v>-1.1683229011914518</v>
      </c>
      <c r="Q32">
        <f>Conventional!D42</f>
        <v>24.656325294149603</v>
      </c>
      <c r="R32">
        <f>'Beam Balanced'!D42</f>
        <v>38.50427125258681</v>
      </c>
      <c r="S32">
        <f>'Mark II'!C42</f>
        <v>41.61767436676905</v>
      </c>
      <c r="T32">
        <f>Conventional!Q42</f>
        <v>-26342.40266862861</v>
      </c>
      <c r="U32">
        <f>'Beam Balanced'!Q42</f>
        <v>-32593.209121613647</v>
      </c>
      <c r="V32">
        <f>'Mark II'!P42</f>
        <v>353185.4030696199</v>
      </c>
    </row>
    <row r="33" spans="1:22" ht="12.75">
      <c r="A33">
        <f t="shared" si="0"/>
        <v>140</v>
      </c>
      <c r="B33">
        <f>Conventional!J43</f>
        <v>76.34845895413369</v>
      </c>
      <c r="C33">
        <f>'Mark II'!I43</f>
        <v>135.8692000645879</v>
      </c>
      <c r="D33">
        <f>'Air Balanced'!I43</f>
        <v>124.9072999758618</v>
      </c>
      <c r="E33">
        <f>RM!I43</f>
        <v>109.3787772710162</v>
      </c>
      <c r="F33">
        <f>'Beam Balanced'!J43</f>
        <v>126.46702194076987</v>
      </c>
      <c r="G33">
        <f>Conventional!K43</f>
        <v>1.234354646244347</v>
      </c>
      <c r="H33">
        <f>'Mark II'!J43</f>
        <v>2.0349806983447367</v>
      </c>
      <c r="I33">
        <f>'Air Balanced'!J43</f>
        <v>2.918706764834184</v>
      </c>
      <c r="J33">
        <f>RM!J43</f>
        <v>2.7009823863083993</v>
      </c>
      <c r="K33">
        <f>'Beam Balanced'!K43</f>
        <v>1.9349782059686875</v>
      </c>
      <c r="L33">
        <f>Conventional!L43</f>
        <v>-0.8094674518805308</v>
      </c>
      <c r="M33">
        <f>'Mark II'!K43</f>
        <v>-1.997110677366968</v>
      </c>
      <c r="N33">
        <f>'Air Balanced'!K43</f>
        <v>-1.6493785519053765</v>
      </c>
      <c r="O33">
        <f>RM!K43</f>
        <v>-0.8258229429576667</v>
      </c>
      <c r="P33">
        <f>'Beam Balanced'!L43</f>
        <v>-1.1671298822777734</v>
      </c>
      <c r="Q33">
        <f>Conventional!D43</f>
        <v>22.484092600230202</v>
      </c>
      <c r="R33">
        <f>'Beam Balanced'!D43</f>
        <v>35.40381164311971</v>
      </c>
      <c r="S33">
        <f>'Mark II'!C43</f>
        <v>36.01274050363825</v>
      </c>
      <c r="T33">
        <f>Conventional!Q43</f>
        <v>-22648.473818434402</v>
      </c>
      <c r="U33">
        <f>'Beam Balanced'!Q43</f>
        <v>-22474.158303809003</v>
      </c>
      <c r="V33">
        <f>'Mark II'!P43</f>
        <v>346310.61285038403</v>
      </c>
    </row>
    <row r="34" spans="1:22" ht="12.75">
      <c r="A34">
        <f t="shared" si="0"/>
        <v>145</v>
      </c>
      <c r="B34">
        <f>Conventional!J44</f>
        <v>78.21388202806274</v>
      </c>
      <c r="C34">
        <f>'Mark II'!I44</f>
        <v>138.74501374192639</v>
      </c>
      <c r="D34">
        <f>'Air Balanced'!I44</f>
        <v>129.33216234493872</v>
      </c>
      <c r="E34">
        <f>RM!I44</f>
        <v>113.68070544979165</v>
      </c>
      <c r="F34">
        <f>'Beam Balanced'!J44</f>
        <v>129.42037975098742</v>
      </c>
      <c r="G34">
        <f>Conventional!K44</f>
        <v>1.1192538443574307</v>
      </c>
      <c r="H34">
        <f>'Mark II'!J44</f>
        <v>1.7254882064030994</v>
      </c>
      <c r="I34">
        <f>'Air Balanced'!J44</f>
        <v>2.654917421446152</v>
      </c>
      <c r="J34">
        <f>RM!J44</f>
        <v>2.5811569072652647</v>
      </c>
      <c r="K34">
        <f>'Beam Balanced'!K44</f>
        <v>1.7720146861305324</v>
      </c>
      <c r="L34">
        <f>Conventional!L44</f>
        <v>-0.828701332346484</v>
      </c>
      <c r="M34">
        <f>'Mark II'!K44</f>
        <v>-2.228435079382964</v>
      </c>
      <c r="N34">
        <f>'Air Balanced'!K44</f>
        <v>-1.8993592467636997</v>
      </c>
      <c r="O34">
        <f>RM!K44</f>
        <v>-0.862777960228978</v>
      </c>
      <c r="P34">
        <f>'Beam Balanced'!L44</f>
        <v>-1.173302738120219</v>
      </c>
      <c r="Q34">
        <f>Conventional!D44</f>
        <v>20.25905418389648</v>
      </c>
      <c r="R34">
        <f>'Beam Balanced'!D44</f>
        <v>32.275363400564956</v>
      </c>
      <c r="S34">
        <f>'Mark II'!C44</f>
        <v>29.797048924644116</v>
      </c>
      <c r="T34">
        <f>Conventional!Q44</f>
        <v>-30118.028454487212</v>
      </c>
      <c r="U34">
        <f>'Beam Balanced'!Q44</f>
        <v>-29413.820592801436</v>
      </c>
      <c r="V34">
        <f>'Mark II'!P44</f>
        <v>330063.24265826755</v>
      </c>
    </row>
    <row r="35" spans="1:22" ht="12.75">
      <c r="A35">
        <f t="shared" si="0"/>
        <v>150</v>
      </c>
      <c r="B35">
        <f>Conventional!J45</f>
        <v>79.88263389458037</v>
      </c>
      <c r="C35">
        <f>'Mark II'!I45</f>
        <v>141.05224950005504</v>
      </c>
      <c r="D35">
        <f>'Air Balanced'!I45</f>
        <v>133.26374100270513</v>
      </c>
      <c r="E35">
        <f>RM!I45</f>
        <v>117.77404662859901</v>
      </c>
      <c r="F35">
        <f>'Beam Balanced'!J45</f>
        <v>132.09853047263815</v>
      </c>
      <c r="G35">
        <f>Conventional!K45</f>
        <v>1.0012511199105747</v>
      </c>
      <c r="H35">
        <f>'Mark II'!J45</f>
        <v>1.3843414548771933</v>
      </c>
      <c r="I35">
        <f>'Air Balanced'!J45</f>
        <v>2.3589471946598453</v>
      </c>
      <c r="J35">
        <f>RM!J45</f>
        <v>2.4560047072844187</v>
      </c>
      <c r="K35">
        <f>'Beam Balanced'!K45</f>
        <v>1.6068904329904343</v>
      </c>
      <c r="L35">
        <f>Conventional!L45</f>
        <v>-0.8495945585652767</v>
      </c>
      <c r="M35">
        <f>'Mark II'!K45</f>
        <v>-2.4563548651811313</v>
      </c>
      <c r="N35">
        <f>'Air Balanced'!K45</f>
        <v>-2.131070875696436</v>
      </c>
      <c r="O35">
        <f>RM!K45</f>
        <v>-0.901131885137497</v>
      </c>
      <c r="P35">
        <f>'Beam Balanced'!L45</f>
        <v>-1.1888595590702937</v>
      </c>
      <c r="Q35">
        <f>Conventional!D45</f>
        <v>17.975614069471096</v>
      </c>
      <c r="R35">
        <f>'Beam Balanced'!D45</f>
        <v>29.09159269558322</v>
      </c>
      <c r="S35">
        <f>'Mark II'!C45</f>
        <v>22.984852157715046</v>
      </c>
      <c r="T35">
        <f>Conventional!Q45</f>
        <v>-32634.73482534691</v>
      </c>
      <c r="U35">
        <f>'Beam Balanced'!Q45</f>
        <v>-28629.659543191956</v>
      </c>
      <c r="V35">
        <f>'Mark II'!P45</f>
        <v>326890.41365969845</v>
      </c>
    </row>
    <row r="36" spans="1:22" ht="12.75">
      <c r="A36">
        <f t="shared" si="0"/>
        <v>155</v>
      </c>
      <c r="B36">
        <f>Conventional!J46</f>
        <v>81.34930451722632</v>
      </c>
      <c r="C36">
        <f>'Mark II'!I46</f>
        <v>142.73992380059843</v>
      </c>
      <c r="D36">
        <f>'Air Balanced'!I46</f>
        <v>136.65422246637814</v>
      </c>
      <c r="E36">
        <f>RM!I46</f>
        <v>121.64889943797007</v>
      </c>
      <c r="F36">
        <f>'Beam Balanced'!J46</f>
        <v>134.49529356145737</v>
      </c>
      <c r="G36">
        <f>Conventional!K46</f>
        <v>0.8800023735875698</v>
      </c>
      <c r="H36">
        <f>'Mark II'!J46</f>
        <v>1.0126045803260353</v>
      </c>
      <c r="I36">
        <f>'Air Balanced'!J46</f>
        <v>2.0342888782038075</v>
      </c>
      <c r="J36">
        <f>RM!J46</f>
        <v>2.324911685622638</v>
      </c>
      <c r="K36">
        <f>'Beam Balanced'!K46</f>
        <v>1.4380578532915367</v>
      </c>
      <c r="L36">
        <f>Conventional!L46</f>
        <v>-0.8729652267925381</v>
      </c>
      <c r="M36">
        <f>'Mark II'!K46</f>
        <v>-2.676612561270788</v>
      </c>
      <c r="N36">
        <f>'Air Balanced'!K46</f>
        <v>-2.337633383818824</v>
      </c>
      <c r="O36">
        <f>RM!K46</f>
        <v>-0.9439075122653118</v>
      </c>
      <c r="P36">
        <f>'Beam Balanced'!L46</f>
        <v>-1.2155587228439135</v>
      </c>
      <c r="Q36">
        <f>Conventional!D46</f>
        <v>15.626336542077684</v>
      </c>
      <c r="R36">
        <f>'Beam Balanced'!D46</f>
        <v>25.82083019714115</v>
      </c>
      <c r="S36">
        <f>'Mark II'!C46</f>
        <v>15.602998578027586</v>
      </c>
      <c r="T36">
        <f>Conventional!Q46</f>
        <v>-30622.09900974785</v>
      </c>
      <c r="U36">
        <f>'Beam Balanced'!Q46</f>
        <v>-21141.33575282106</v>
      </c>
      <c r="V36">
        <f>'Mark II'!P46</f>
        <v>267536.46405328193</v>
      </c>
    </row>
    <row r="37" spans="1:22" ht="12.75">
      <c r="A37">
        <f t="shared" si="0"/>
        <v>160</v>
      </c>
      <c r="B37">
        <f>Conventional!J47</f>
        <v>82.60777982441621</v>
      </c>
      <c r="C37">
        <f>'Mark II'!I47</f>
        <v>143.7600483310143</v>
      </c>
      <c r="D37">
        <f>'Air Balanced'!I47</f>
        <v>139.46303120301445</v>
      </c>
      <c r="E37">
        <f>RM!I47</f>
        <v>125.2936270371126</v>
      </c>
      <c r="F37">
        <f>'Beam Balanced'!J47</f>
        <v>136.60156141524598</v>
      </c>
      <c r="G37">
        <f>Conventional!K47</f>
        <v>0.7550851843139385</v>
      </c>
      <c r="H37">
        <f>'Mark II'!J47</f>
        <v>0.6120747182495223</v>
      </c>
      <c r="I37">
        <f>'Air Balanced'!J47</f>
        <v>1.6852852419817852</v>
      </c>
      <c r="J37">
        <f>RM!J47</f>
        <v>2.186836559485516</v>
      </c>
      <c r="K37">
        <f>'Beam Balanced'!K47</f>
        <v>1.2637607122731653</v>
      </c>
      <c r="L37">
        <f>Conventional!L47</f>
        <v>-0.8993772370564461</v>
      </c>
      <c r="M37">
        <f>'Mark II'!K47</f>
        <v>-2.88393036416546</v>
      </c>
      <c r="N37">
        <f>'Air Balanced'!K47</f>
        <v>-2.5129266978664755</v>
      </c>
      <c r="O37">
        <f>RM!K47</f>
        <v>-0.9941806754142934</v>
      </c>
      <c r="P37">
        <f>'Beam Balanced'!L47</f>
        <v>-1.2549024039642767</v>
      </c>
      <c r="Q37">
        <f>Conventional!D47</f>
        <v>13.20264298829377</v>
      </c>
      <c r="R37">
        <f>'Beam Balanced'!D47</f>
        <v>22.42779771934582</v>
      </c>
      <c r="S37">
        <f>'Mark II'!C47</f>
        <v>7.6937812836749355</v>
      </c>
      <c r="T37">
        <f>Conventional!Q47</f>
        <v>-15656.714732009568</v>
      </c>
      <c r="U37">
        <f>'Beam Balanced'!Q47</f>
        <v>7085.00434202078</v>
      </c>
      <c r="V37">
        <f>'Mark II'!P47</f>
        <v>220954.85693269456</v>
      </c>
    </row>
    <row r="38" spans="1:22" ht="12.75">
      <c r="A38">
        <f t="shared" si="0"/>
        <v>165</v>
      </c>
      <c r="B38">
        <f>Conventional!J48</f>
        <v>83.6511747529026</v>
      </c>
      <c r="C38">
        <f>'Mark II'!I48</f>
        <v>144.06910869015297</v>
      </c>
      <c r="D38">
        <f>'Air Balanced'!I48</f>
        <v>141.65796465516058</v>
      </c>
      <c r="E38">
        <f>RM!I48</f>
        <v>128.69412217789542</v>
      </c>
      <c r="F38">
        <f>'Beam Balanced'!J48</f>
        <v>138.4050244505815</v>
      </c>
      <c r="G38">
        <f>Conventional!K48</f>
        <v>0.6260369570918356</v>
      </c>
      <c r="H38">
        <f>'Mark II'!J48</f>
        <v>0.18543621548320177</v>
      </c>
      <c r="I38">
        <f>'Air Balanced'!J48</f>
        <v>1.3169600712876788</v>
      </c>
      <c r="J38">
        <f>RM!J48</f>
        <v>2.040297084469694</v>
      </c>
      <c r="K38">
        <f>'Beam Balanced'!K48</f>
        <v>1.082077821201307</v>
      </c>
      <c r="L38">
        <f>Conventional!L48</f>
        <v>-0.9291198330744616</v>
      </c>
      <c r="M38">
        <f>'Mark II'!K48</f>
        <v>-3.0719200967213762</v>
      </c>
      <c r="N38">
        <f>'Air Balanced'!K48</f>
        <v>-2.652047310890002</v>
      </c>
      <c r="O38">
        <f>RM!K48</f>
        <v>-1.0551264251709251</v>
      </c>
      <c r="P38">
        <f>'Beam Balanced'!L48</f>
        <v>-1.3080782360120513</v>
      </c>
      <c r="Q38">
        <f>Conventional!D48</f>
        <v>10.695576750835334</v>
      </c>
      <c r="R38">
        <f>'Beam Balanced'!D48</f>
        <v>18.87458382183252</v>
      </c>
      <c r="S38">
        <f>'Mark II'!C48</f>
        <v>-0.6820507198198188</v>
      </c>
      <c r="T38">
        <f>Conventional!Q48</f>
        <v>-291.6120177587436</v>
      </c>
      <c r="U38">
        <f>'Beam Balanced'!Q48</f>
        <v>35423.444354349456</v>
      </c>
      <c r="V38">
        <f>'Mark II'!P48</f>
        <v>164526.36157195654</v>
      </c>
    </row>
    <row r="39" spans="1:22" ht="12.75">
      <c r="A39">
        <f t="shared" si="0"/>
        <v>170</v>
      </c>
      <c r="B39">
        <f>Conventional!J49</f>
        <v>84.4718369359645</v>
      </c>
      <c r="C39">
        <f>'Mark II'!I49</f>
        <v>143.62980470411043</v>
      </c>
      <c r="D39">
        <f>'Air Balanced'!I49</f>
        <v>143.21596634980273</v>
      </c>
      <c r="E39">
        <f>RM!I49</f>
        <v>131.83304520235998</v>
      </c>
      <c r="F39">
        <f>'Beam Balanced'!J49</f>
        <v>139.89000001320508</v>
      </c>
      <c r="G39">
        <f>Conventional!K49</f>
        <v>0.4923973098371391</v>
      </c>
      <c r="H39">
        <f>'Mark II'!J49</f>
        <v>-0.26358239162552766</v>
      </c>
      <c r="I39">
        <f>'Air Balanced'!J49</f>
        <v>0.9348010167852863</v>
      </c>
      <c r="J39">
        <f>RM!J49</f>
        <v>1.8833538146787363</v>
      </c>
      <c r="K39">
        <f>'Beam Balanced'!K49</f>
        <v>0.8909853375741533</v>
      </c>
      <c r="L39">
        <f>Conventional!L49</f>
        <v>-0.9621770823376802</v>
      </c>
      <c r="M39">
        <f>'Mark II'!K49</f>
        <v>-3.2330632937146007</v>
      </c>
      <c r="N39">
        <f>'Air Balanced'!K49</f>
        <v>-2.7516552586275713</v>
      </c>
      <c r="O39">
        <f>RM!K49</f>
        <v>-1.130036743964655</v>
      </c>
      <c r="P39">
        <f>'Beam Balanced'!L49</f>
        <v>-1.3758253043171962</v>
      </c>
      <c r="Q39">
        <f>Conventional!D49</f>
        <v>8.096660921301257</v>
      </c>
      <c r="R39">
        <f>'Beam Balanced'!D49</f>
        <v>15.12208704919731</v>
      </c>
      <c r="S39">
        <f>'Mark II'!C49</f>
        <v>-9.44235644994479</v>
      </c>
      <c r="T39">
        <f>Conventional!Q49</f>
        <v>14904.333404717778</v>
      </c>
      <c r="U39">
        <f>'Beam Balanced'!Q49</f>
        <v>62613.24341773274</v>
      </c>
      <c r="V39">
        <f>'Mark II'!P49</f>
        <v>99048.53372164711</v>
      </c>
    </row>
    <row r="40" spans="1:22" ht="12.75">
      <c r="A40">
        <f t="shared" si="0"/>
        <v>175</v>
      </c>
      <c r="B40">
        <f>Conventional!J50</f>
        <v>85.06142990864406</v>
      </c>
      <c r="C40">
        <f>'Mark II'!I50</f>
        <v>142.41303114701918</v>
      </c>
      <c r="D40">
        <f>'Air Balanced'!I50</f>
        <v>144.12349293877605</v>
      </c>
      <c r="E40">
        <f>RM!I50</f>
        <v>134.6890448239706</v>
      </c>
      <c r="F40">
        <f>'Beam Balanced'!J50</f>
        <v>141.0374164443893</v>
      </c>
      <c r="G40">
        <f>Conventional!K50</f>
        <v>0.35375578360773263</v>
      </c>
      <c r="H40">
        <f>'Mark II'!J50</f>
        <v>-0.7300641342547465</v>
      </c>
      <c r="I40">
        <f>'Air Balanced'!J50</f>
        <v>0.5445159533839956</v>
      </c>
      <c r="J40">
        <f>RM!J50</f>
        <v>1.7135997729663641</v>
      </c>
      <c r="K40">
        <f>'Beam Balanced'!K50</f>
        <v>0.688449858710527</v>
      </c>
      <c r="L40">
        <f>Conventional!L50</f>
        <v>-0.9981895488246779</v>
      </c>
      <c r="M40">
        <f>'Mark II'!K50</f>
        <v>-3.3588028990463377</v>
      </c>
      <c r="N40">
        <f>'Air Balanced'!K50</f>
        <v>-2.810164863083816</v>
      </c>
      <c r="O40">
        <f>RM!K50</f>
        <v>-1.2222779914487376</v>
      </c>
      <c r="P40">
        <f>'Beam Balanced'!L50</f>
        <v>-1.4582124401411298</v>
      </c>
      <c r="Q40">
        <f>Conventional!D50</f>
        <v>5.3988641908154715</v>
      </c>
      <c r="R40">
        <f>'Beam Balanced'!D50</f>
        <v>11.132169533189767</v>
      </c>
      <c r="S40">
        <f>'Mark II'!C50</f>
        <v>-18.481099552237765</v>
      </c>
      <c r="T40">
        <f>Conventional!Q50</f>
        <v>29375.776922435114</v>
      </c>
      <c r="U40">
        <f>'Beam Balanced'!Q50</f>
        <v>87393.66391839487</v>
      </c>
      <c r="V40">
        <f>'Mark II'!P50</f>
        <v>25807.395604458114</v>
      </c>
    </row>
    <row r="41" spans="1:22" ht="12.75">
      <c r="A41">
        <f t="shared" si="0"/>
        <v>180</v>
      </c>
      <c r="B41">
        <f>Conventional!J51</f>
        <v>85.41110526923305</v>
      </c>
      <c r="C41">
        <f>'Mark II'!I51</f>
        <v>140.40004079933328</v>
      </c>
      <c r="D41">
        <f>'Air Balanced'!I51</f>
        <v>144.37647196455512</v>
      </c>
      <c r="E41">
        <f>RM!I51</f>
        <v>137.23599657269696</v>
      </c>
      <c r="F41">
        <f>'Beam Balanced'!J51</f>
        <v>141.8250245580499</v>
      </c>
      <c r="G41">
        <f>Conventional!K51</f>
        <v>0.20980521635339355</v>
      </c>
      <c r="H41">
        <f>'Mark II'!J51</f>
        <v>-1.2077942086115399</v>
      </c>
      <c r="I41">
        <f>'Air Balanced'!J51</f>
        <v>0.15178741546744162</v>
      </c>
      <c r="J41">
        <f>RM!J51</f>
        <v>1.528171049235823</v>
      </c>
      <c r="K41">
        <f>'Beam Balanced'!K51</f>
        <v>0.4725648681963662</v>
      </c>
      <c r="L41">
        <f>Conventional!L51</f>
        <v>-1.0364135168485074</v>
      </c>
      <c r="M41">
        <f>'Mark II'!K51</f>
        <v>-3.4397941271339976</v>
      </c>
      <c r="N41">
        <f>'Air Balanced'!K51</f>
        <v>-2.8277585833425225</v>
      </c>
      <c r="O41">
        <f>RM!K51</f>
        <v>-1.3351402164685553</v>
      </c>
      <c r="P41">
        <f>'Beam Balanced'!L51</f>
        <v>-1.5543260893044082</v>
      </c>
      <c r="Q41">
        <f>Conventional!D51</f>
        <v>2.597670997775883</v>
      </c>
      <c r="R41">
        <f>'Beam Balanced'!D51</f>
        <v>6.870748359520769</v>
      </c>
      <c r="S41">
        <f>'Mark II'!C51</f>
        <v>-27.666764213995666</v>
      </c>
      <c r="T41">
        <f>Conventional!Q51</f>
        <v>42601.8043635244</v>
      </c>
      <c r="U41">
        <f>'Beam Balanced'!Q51</f>
        <v>108557.824080428</v>
      </c>
      <c r="V41">
        <f>'Mark II'!P51</f>
        <v>-53384.50584008399</v>
      </c>
    </row>
    <row r="42" spans="1:22" ht="12.75">
      <c r="A42">
        <f t="shared" si="0"/>
        <v>185</v>
      </c>
      <c r="B42">
        <f>Conventional!J52</f>
        <v>85.51177171947863</v>
      </c>
      <c r="C42">
        <f>'Mark II'!I52</f>
        <v>137.58468415781908</v>
      </c>
      <c r="D42">
        <f>'Air Balanced'!I52</f>
        <v>143.97988602136184</v>
      </c>
      <c r="E42">
        <f>RM!I52</f>
        <v>139.4423345114285</v>
      </c>
      <c r="F42">
        <f>'Beam Balanced'!J52</f>
        <v>142.22792519373425</v>
      </c>
      <c r="G42">
        <f>Conventional!K52</f>
        <v>0.06039987014735004</v>
      </c>
      <c r="H42">
        <f>'Mark II'!J52</f>
        <v>-1.6892139849085197</v>
      </c>
      <c r="I42">
        <f>'Air Balanced'!J52</f>
        <v>-0.23795156591597222</v>
      </c>
      <c r="J42">
        <f>RM!J52</f>
        <v>1.323802763238922</v>
      </c>
      <c r="K42">
        <f>'Beam Balanced'!K52</f>
        <v>0.24174038141060805</v>
      </c>
      <c r="L42">
        <f>Conventional!L52</f>
        <v>-1.0756867669981875</v>
      </c>
      <c r="M42">
        <f>'Mark II'!K52</f>
        <v>-3.4663610437800063</v>
      </c>
      <c r="N42">
        <f>'Air Balanced'!K52</f>
        <v>-2.8062329152771905</v>
      </c>
      <c r="O42">
        <f>RM!K52</f>
        <v>-1.4715105195984706</v>
      </c>
      <c r="P42">
        <f>'Beam Balanced'!L52</f>
        <v>-1.6618872901118737</v>
      </c>
      <c r="Q42">
        <f>Conventional!D52</f>
        <v>-0.3077766871238451</v>
      </c>
      <c r="R42">
        <f>'Beam Balanced'!D52</f>
        <v>2.3119558189758767</v>
      </c>
      <c r="S42">
        <f>'Mark II'!C52</f>
        <v>-36.84228937552481</v>
      </c>
      <c r="T42">
        <f>Conventional!Q52</f>
        <v>53810.28145098354</v>
      </c>
      <c r="U42">
        <f>'Beam Balanced'!Q52</f>
        <v>127335.4724647979</v>
      </c>
      <c r="V42">
        <f>'Mark II'!P52</f>
        <v>-99338.25941979745</v>
      </c>
    </row>
    <row r="43" spans="1:22" ht="12.75">
      <c r="A43">
        <f t="shared" si="0"/>
        <v>190</v>
      </c>
      <c r="B43">
        <f>Conventional!J53</f>
        <v>85.35446446233017</v>
      </c>
      <c r="C43">
        <f>'Mark II'!I53</f>
        <v>133.97556486008324</v>
      </c>
      <c r="D43">
        <f>'Air Balanced'!I53</f>
        <v>142.9470498058381</v>
      </c>
      <c r="E43">
        <f>RM!I53</f>
        <v>141.2706121893089</v>
      </c>
      <c r="F43">
        <f>'Beam Balanced'!J53</f>
        <v>142.2195042072405</v>
      </c>
      <c r="G43">
        <f>Conventional!K53</f>
        <v>-0.0943843542890761</v>
      </c>
      <c r="H43">
        <f>'Mark II'!J53</f>
        <v>-2.1654715786415064</v>
      </c>
      <c r="I43">
        <f>'Air Balanced'!J53</f>
        <v>-0.619701729314238</v>
      </c>
      <c r="J43">
        <f>RM!J53</f>
        <v>1.0969666067282446</v>
      </c>
      <c r="K43">
        <f>'Beam Balanced'!K53</f>
        <v>-0.005052591896247804</v>
      </c>
      <c r="L43">
        <f>Conventional!L53</f>
        <v>-1.1144135480715833</v>
      </c>
      <c r="M43">
        <f>'Mark II'!K53</f>
        <v>-3.429191842551206</v>
      </c>
      <c r="N43">
        <f>'Air Balanced'!K53</f>
        <v>-2.74871112491251</v>
      </c>
      <c r="O43">
        <f>RM!K53</f>
        <v>-1.6332856583032087</v>
      </c>
      <c r="P43">
        <f>'Beam Balanced'!L53</f>
        <v>-1.7768570022133647</v>
      </c>
      <c r="Q43">
        <f>Conventional!D53</f>
        <v>-3.3135363151366666</v>
      </c>
      <c r="R43">
        <f>'Beam Balanced'!D53</f>
        <v>-2.556725926951294</v>
      </c>
      <c r="S43">
        <f>'Mark II'!C53</f>
        <v>-45.82717469266467</v>
      </c>
      <c r="T43">
        <f>Conventional!Q53</f>
        <v>63538.91013638164</v>
      </c>
      <c r="U43">
        <f>'Beam Balanced'!Q53</f>
        <v>135919.4623137545</v>
      </c>
      <c r="V43">
        <f>'Mark II'!P53</f>
        <v>-128081.76815789333</v>
      </c>
    </row>
    <row r="44" spans="1:22" ht="12.75">
      <c r="A44">
        <f t="shared" si="0"/>
        <v>195</v>
      </c>
      <c r="B44">
        <f>Conventional!J54</f>
        <v>84.93081047882457</v>
      </c>
      <c r="C44">
        <f>'Mark II'!I54</f>
        <v>129.59789434209975</v>
      </c>
      <c r="D44">
        <f>'Air Balanced'!I54</f>
        <v>141.29866555126867</v>
      </c>
      <c r="E44">
        <f>RM!I54</f>
        <v>142.67750786318373</v>
      </c>
      <c r="F44">
        <f>'Beam Balanced'!J54</f>
        <v>141.7728424218125</v>
      </c>
      <c r="G44">
        <f>Conventional!K54</f>
        <v>-0.25419239010336125</v>
      </c>
      <c r="H44">
        <f>'Mark II'!J54</f>
        <v>-2.6266023107900933</v>
      </c>
      <c r="I44">
        <f>'Air Balanced'!J54</f>
        <v>-0.9890305527416614</v>
      </c>
      <c r="J44">
        <f>RM!J54</f>
        <v>0.844137404324897</v>
      </c>
      <c r="K44">
        <f>'Beam Balanced'!K54</f>
        <v>-0.2679970712568036</v>
      </c>
      <c r="L44">
        <f>Conventional!L54</f>
        <v>-1.1505839232039894</v>
      </c>
      <c r="M44">
        <f>'Mark II'!K54</f>
        <v>-3.320274082433123</v>
      </c>
      <c r="N44">
        <f>'Air Balanced'!K54</f>
        <v>-2.659273899633434</v>
      </c>
      <c r="O44">
        <f>RM!K54</f>
        <v>-1.820443075027104</v>
      </c>
      <c r="P44">
        <f>'Beam Balanced'!L54</f>
        <v>-1.8931444160860835</v>
      </c>
      <c r="Q44">
        <f>Conventional!D54</f>
        <v>-6.409832430704971</v>
      </c>
      <c r="R44">
        <f>'Beam Balanced'!D54</f>
        <v>-7.728833556109847</v>
      </c>
      <c r="S44">
        <f>'Mark II'!C54</f>
        <v>-54.42235435461494</v>
      </c>
      <c r="T44">
        <f>Conventional!Q54</f>
        <v>70577.81886789655</v>
      </c>
      <c r="U44">
        <f>'Beam Balanced'!Q54</f>
        <v>140679.40984406852</v>
      </c>
      <c r="V44">
        <f>'Mark II'!P54</f>
        <v>-191955.58002377267</v>
      </c>
    </row>
    <row r="45" spans="1:22" ht="12.75">
      <c r="A45">
        <f t="shared" si="0"/>
        <v>200</v>
      </c>
      <c r="B45">
        <f>Conventional!J55</f>
        <v>84.23357378499497</v>
      </c>
      <c r="C45">
        <f>'Mark II'!I55</f>
        <v>124.49478562577575</v>
      </c>
      <c r="D45">
        <f>'Air Balanced'!I55</f>
        <v>139.06174851490135</v>
      </c>
      <c r="E45">
        <f>RM!I55</f>
        <v>143.61457288846609</v>
      </c>
      <c r="F45">
        <f>'Beam Balanced'!J55</f>
        <v>140.8626049859822</v>
      </c>
      <c r="G45">
        <f>Conventional!K55</f>
        <v>-0.4183420162977569</v>
      </c>
      <c r="H45">
        <f>'Mark II'!J55</f>
        <v>-3.0618652297944013</v>
      </c>
      <c r="I45">
        <f>'Air Balanced'!J55</f>
        <v>-1.3421502218203898</v>
      </c>
      <c r="J45">
        <f>RM!J55</f>
        <v>0.5622390151694105</v>
      </c>
      <c r="K45">
        <f>'Beam Balanced'!K55</f>
        <v>-0.5461424614981865</v>
      </c>
      <c r="L45">
        <f>Conventional!L55</f>
        <v>-1.1818424520197461</v>
      </c>
      <c r="M45">
        <f>'Mark II'!K55</f>
        <v>-3.13401837756612</v>
      </c>
      <c r="N45">
        <f>'Air Balanced'!K55</f>
        <v>-2.5425633198996405</v>
      </c>
      <c r="O45">
        <f>RM!K55</f>
        <v>-2.0297495919031787</v>
      </c>
      <c r="P45">
        <f>'Beam Balanced'!L55</f>
        <v>-2.0025877465695276</v>
      </c>
      <c r="Q45">
        <f>Conventional!D55</f>
        <v>-9.580282785556024</v>
      </c>
      <c r="R45">
        <f>'Beam Balanced'!D55</f>
        <v>-13.173772708624385</v>
      </c>
      <c r="S45">
        <f>'Mark II'!C55</f>
        <v>-62.41821075072577</v>
      </c>
      <c r="T45">
        <f>Conventional!Q55</f>
        <v>75063.42205690843</v>
      </c>
      <c r="U45">
        <f>'Beam Balanced'!Q55</f>
        <v>139128.5908273776</v>
      </c>
      <c r="V45">
        <f>'Mark II'!P55</f>
        <v>-251034.18947131548</v>
      </c>
    </row>
    <row r="46" spans="1:22" ht="12.75">
      <c r="A46">
        <f t="shared" si="0"/>
        <v>205</v>
      </c>
      <c r="B46">
        <f>Conventional!J56</f>
        <v>83.2572509812479</v>
      </c>
      <c r="C46">
        <f>'Mark II'!I56</f>
        <v>118.72771069347696</v>
      </c>
      <c r="D46">
        <f>'Air Balanced'!I56</f>
        <v>136.26850903945032</v>
      </c>
      <c r="E46">
        <f>RM!I56</f>
        <v>144.03007257987124</v>
      </c>
      <c r="F46">
        <f>'Beam Balanced'!J56</f>
        <v>139.46730817612047</v>
      </c>
      <c r="G46">
        <f>Conventional!K56</f>
        <v>-0.5857936822482401</v>
      </c>
      <c r="H46">
        <f>'Mark II'!J56</f>
        <v>-3.46024495937927</v>
      </c>
      <c r="I46">
        <f>'Air Balanced'!J56</f>
        <v>-1.6759436852706189</v>
      </c>
      <c r="J46">
        <f>RM!J56</f>
        <v>0.24929981484309563</v>
      </c>
      <c r="K46">
        <f>'Beam Balanced'!K56</f>
        <v>-0.8371780859170315</v>
      </c>
      <c r="L46">
        <f>Conventional!L56</f>
        <v>-1.2056164370873739</v>
      </c>
      <c r="M46">
        <f>'Mark II'!K56</f>
        <v>-2.8684487909626935</v>
      </c>
      <c r="N46">
        <f>'Air Balanced'!K56</f>
        <v>-2.4034090732045774</v>
      </c>
      <c r="O46">
        <f>RM!K56</f>
        <v>-2.2532523724443654</v>
      </c>
      <c r="P46">
        <f>'Beam Balanced'!L56</f>
        <v>-2.095394695452622</v>
      </c>
      <c r="Q46">
        <f>Conventional!D56</f>
        <v>-12.80154660510961</v>
      </c>
      <c r="R46">
        <f>'Beam Balanced'!D56</f>
        <v>-18.833581388047214</v>
      </c>
      <c r="S46">
        <f>'Mark II'!C56</f>
        <v>-69.60567613179698</v>
      </c>
      <c r="T46">
        <f>Conventional!Q56</f>
        <v>76948.6539760241</v>
      </c>
      <c r="U46">
        <f>'Beam Balanced'!Q56</f>
        <v>131539.86693650502</v>
      </c>
      <c r="V46">
        <f>'Mark II'!P56</f>
        <v>-197790.11609582847</v>
      </c>
    </row>
    <row r="47" spans="1:22" ht="12.75">
      <c r="A47">
        <f t="shared" si="0"/>
        <v>210</v>
      </c>
      <c r="B47">
        <f>Conventional!J57</f>
        <v>81.9986736276659</v>
      </c>
      <c r="C47">
        <f>'Mark II'!I57</f>
        <v>112.37587570380005</v>
      </c>
      <c r="D47">
        <f>'Air Balanced'!I57</f>
        <v>132.95526437575478</v>
      </c>
      <c r="E47">
        <f>RM!I57</f>
        <v>143.8722159048163</v>
      </c>
      <c r="F47">
        <f>'Beam Balanced'!J57</f>
        <v>137.57172786759793</v>
      </c>
      <c r="G47">
        <f>Conventional!K57</f>
        <v>-0.7551464121492075</v>
      </c>
      <c r="H47">
        <f>'Mark II'!J57</f>
        <v>-3.81110099380615</v>
      </c>
      <c r="I47">
        <f>'Air Balanced'!J57</f>
        <v>-1.9879467982173251</v>
      </c>
      <c r="J47">
        <f>RM!J57</f>
        <v>-0.09471400503296651</v>
      </c>
      <c r="K47">
        <f>'Beam Balanced'!K57</f>
        <v>-1.1373481851135239</v>
      </c>
      <c r="L47">
        <f>Conventional!L57</f>
        <v>-1.2193036938467938</v>
      </c>
      <c r="M47">
        <f>'Mark II'!K57</f>
        <v>-2.526264498453473</v>
      </c>
      <c r="N47">
        <f>'Air Balanced'!K57</f>
        <v>-2.2465122737072334</v>
      </c>
      <c r="O47">
        <f>RM!K57</f>
        <v>-2.4769985830509693</v>
      </c>
      <c r="P47">
        <f>'Beam Balanced'!L57</f>
        <v>-2.161160974178965</v>
      </c>
      <c r="Q47">
        <f>Conventional!D57</f>
        <v>-16.043540326589362</v>
      </c>
      <c r="R47">
        <f>'Beam Balanced'!D57</f>
        <v>-24.623158689388976</v>
      </c>
      <c r="S47">
        <f>'Mark II'!C57</f>
        <v>-75.78976686949686</v>
      </c>
      <c r="T47">
        <f>Conventional!Q57</f>
        <v>76310.47879294463</v>
      </c>
      <c r="U47">
        <f>'Beam Balanced'!Q57</f>
        <v>118635.00916901516</v>
      </c>
      <c r="V47">
        <f>'Mark II'!P57</f>
        <v>-190953.48545235768</v>
      </c>
    </row>
    <row r="48" spans="1:22" ht="12.75">
      <c r="A48">
        <f t="shared" si="0"/>
        <v>215</v>
      </c>
      <c r="B48">
        <f>Conventional!J58</f>
        <v>80.45756366707965</v>
      </c>
      <c r="C48">
        <f>'Mark II'!I58</f>
        <v>105.53435529642746</v>
      </c>
      <c r="D48">
        <f>'Air Balanced'!I58</f>
        <v>129.1614356556116</v>
      </c>
      <c r="E48">
        <f>RM!I58</f>
        <v>143.09382855577172</v>
      </c>
      <c r="F48">
        <f>'Beam Balanced'!J58</f>
        <v>135.169095201237</v>
      </c>
      <c r="G48">
        <f>Conventional!K58</f>
        <v>-0.9246659763517443</v>
      </c>
      <c r="H48">
        <f>'Mark II'!J58</f>
        <v>-4.10491224442355</v>
      </c>
      <c r="I48">
        <f>'Air Balanced'!J58</f>
        <v>-2.276297232085909</v>
      </c>
      <c r="J48">
        <f>RM!J58</f>
        <v>-0.46703240942674706</v>
      </c>
      <c r="K48">
        <f>'Beam Balanced'!K58</f>
        <v>-1.4415795998165493</v>
      </c>
      <c r="L48">
        <f>Conventional!L58</f>
        <v>-1.220504865391445</v>
      </c>
      <c r="M48">
        <f>'Mark II'!K58</f>
        <v>-2.115525625470302</v>
      </c>
      <c r="N48">
        <f>'Air Balanced'!K58</f>
        <v>-2.0762061721006893</v>
      </c>
      <c r="O48">
        <f>RM!K58</f>
        <v>-2.680799743624965</v>
      </c>
      <c r="P48">
        <f>'Beam Balanced'!L58</f>
        <v>-2.190401583420354</v>
      </c>
      <c r="Q48">
        <f>Conventional!D58</f>
        <v>-19.27030443768329</v>
      </c>
      <c r="R48">
        <f>'Beam Balanced'!D58</f>
        <v>-30.43500753269816</v>
      </c>
      <c r="S48">
        <f>'Mark II'!C58</f>
        <v>-80.80421157544707</v>
      </c>
      <c r="T48">
        <f>Conventional!Q58</f>
        <v>73338.84351951769</v>
      </c>
      <c r="U48">
        <f>'Beam Balanced'!Q58</f>
        <v>101514.50271805009</v>
      </c>
      <c r="V48">
        <f>'Mark II'!P58</f>
        <v>-167572.94507630938</v>
      </c>
    </row>
    <row r="49" spans="1:22" ht="12.75">
      <c r="A49">
        <f t="shared" si="0"/>
        <v>220</v>
      </c>
      <c r="B49">
        <f>Conventional!J59</f>
        <v>78.63698499563712</v>
      </c>
      <c r="C49">
        <f>'Mark II'!I59</f>
        <v>98.31097096533682</v>
      </c>
      <c r="D49">
        <f>'Air Balanced'!I59</f>
        <v>124.92866654995436</v>
      </c>
      <c r="E49">
        <f>RM!I59</f>
        <v>141.65805431358126</v>
      </c>
      <c r="F49">
        <f>'Beam Balanced'!J59</f>
        <v>132.2626807429909</v>
      </c>
      <c r="G49">
        <f>Conventional!K59</f>
        <v>-1.0923472028655197</v>
      </c>
      <c r="H49">
        <f>'Mark II'!J59</f>
        <v>-4.334030598654385</v>
      </c>
      <c r="I49">
        <f>'Air Balanced'!J59</f>
        <v>-2.539661463394344</v>
      </c>
      <c r="J49">
        <f>RM!J59</f>
        <v>-0.8614645453142771</v>
      </c>
      <c r="K49">
        <f>'Beam Balanced'!K59</f>
        <v>-1.7438486749476623</v>
      </c>
      <c r="L49">
        <f>Conventional!L59</f>
        <v>-1.2072692243967151</v>
      </c>
      <c r="M49">
        <f>'Mark II'!K59</f>
        <v>-1.6497181391875766</v>
      </c>
      <c r="N49">
        <f>'Air Balanced'!K59</f>
        <v>-1.8962983173534247</v>
      </c>
      <c r="O49">
        <f>RM!K59</f>
        <v>-2.8400249793893915</v>
      </c>
      <c r="P49">
        <f>'Beam Balanced'!L59</f>
        <v>-2.176273155198279</v>
      </c>
      <c r="Q49">
        <f>Conventional!D59</f>
        <v>-22.441503984540635</v>
      </c>
      <c r="R49">
        <f>'Beam Balanced'!D59</f>
        <v>-36.1483613477236</v>
      </c>
      <c r="S49">
        <f>'Mark II'!C59</f>
        <v>-84.5252529856392</v>
      </c>
      <c r="T49">
        <f>Conventional!Q59</f>
        <v>90756.61630074424</v>
      </c>
      <c r="U49">
        <f>'Beam Balanced'!Q59</f>
        <v>117666.25760503032</v>
      </c>
      <c r="V49">
        <f>'Mark II'!P59</f>
        <v>-102669.23605795321</v>
      </c>
    </row>
    <row r="50" spans="1:22" ht="12.75">
      <c r="A50">
        <f t="shared" si="0"/>
        <v>225</v>
      </c>
      <c r="B50">
        <f>Conventional!J60</f>
        <v>76.54364100635692</v>
      </c>
      <c r="C50">
        <f>'Mark II'!I60</f>
        <v>90.82208039847028</v>
      </c>
      <c r="D50">
        <f>'Air Balanced'!I60</f>
        <v>120.30008278388594</v>
      </c>
      <c r="E50">
        <f>RM!I60</f>
        <v>139.54407951832079</v>
      </c>
      <c r="F50">
        <f>'Beam Balanced'!J60</f>
        <v>128.86644430466706</v>
      </c>
      <c r="G50">
        <f>Conventional!K60</f>
        <v>-1.25600639356812</v>
      </c>
      <c r="H50">
        <f>'Mark II'!J60</f>
        <v>-4.493334340119926</v>
      </c>
      <c r="I50">
        <f>'Air Balanced'!J60</f>
        <v>-2.77715025964105</v>
      </c>
      <c r="J50">
        <f>RM!J60</f>
        <v>-1.2683848771562851</v>
      </c>
      <c r="K50">
        <f>'Beam Balanced'!K60</f>
        <v>-2.037741862994312</v>
      </c>
      <c r="L50">
        <f>Conventional!L60</f>
        <v>-1.1783114206210306</v>
      </c>
      <c r="M50">
        <f>'Mark II'!K60</f>
        <v>-1.1470328198646893</v>
      </c>
      <c r="N50">
        <f>'Air Balanced'!K60</f>
        <v>-1.7099877324855812</v>
      </c>
      <c r="O50">
        <f>RM!K60</f>
        <v>-2.929943587005938</v>
      </c>
      <c r="P50">
        <f>'Beam Balanced'!L60</f>
        <v>-2.115968546779507</v>
      </c>
      <c r="Q50">
        <f>Conventional!D60</f>
        <v>-25.514425422348737</v>
      </c>
      <c r="R50">
        <f>'Beam Balanced'!D60</f>
        <v>-41.641091143726484</v>
      </c>
      <c r="S50">
        <f>'Mark II'!C60</f>
        <v>-86.8824458872764</v>
      </c>
      <c r="T50">
        <f>Conventional!Q60</f>
        <v>112611.0619991594</v>
      </c>
      <c r="U50">
        <f>'Beam Balanced'!Q60</f>
        <v>143322.17963423335</v>
      </c>
      <c r="V50">
        <f>'Mark II'!P60</f>
        <v>-47586.85652839206</v>
      </c>
    </row>
    <row r="51" spans="1:22" ht="12.75">
      <c r="A51">
        <f t="shared" si="0"/>
        <v>230</v>
      </c>
      <c r="B51">
        <f>Conventional!J61</f>
        <v>74.18798475423058</v>
      </c>
      <c r="C51">
        <f>'Mark II'!I61</f>
        <v>83.18762817087239</v>
      </c>
      <c r="D51">
        <f>'Air Balanced'!I61</f>
        <v>115.31969731418489</v>
      </c>
      <c r="E51">
        <f>RM!I61</f>
        <v>136.7514659585009</v>
      </c>
      <c r="F51">
        <f>'Beam Balanced'!J61</f>
        <v>125.00461941327083</v>
      </c>
      <c r="G51">
        <f>Conventional!K61</f>
        <v>-1.4133937512758026</v>
      </c>
      <c r="H51">
        <f>'Mark II'!J61</f>
        <v>-4.5806713365587335</v>
      </c>
      <c r="I51">
        <f>'Air Balanced'!J61</f>
        <v>-2.988231281820629</v>
      </c>
      <c r="J51">
        <f>RM!J61</f>
        <v>-1.6755681358919388</v>
      </c>
      <c r="K51">
        <f>'Beam Balanced'!K61</f>
        <v>-2.317094934837735</v>
      </c>
      <c r="L51">
        <f>Conventional!L61</f>
        <v>-1.1331555548586925</v>
      </c>
      <c r="M51">
        <f>'Mark II'!K61</f>
        <v>-0.6288515284205511</v>
      </c>
      <c r="N51">
        <f>'Air Balanced'!K61</f>
        <v>-1.519844153459108</v>
      </c>
      <c r="O51">
        <f>RM!K61</f>
        <v>-2.9318367363661606</v>
      </c>
      <c r="P51">
        <f>'Beam Balanced'!L61</f>
        <v>-2.011282797657404</v>
      </c>
      <c r="Q51">
        <f>Conventional!D61</f>
        <v>-28.44622703739774</v>
      </c>
      <c r="R51">
        <f>'Beam Balanced'!D61</f>
        <v>-46.80173102431301</v>
      </c>
      <c r="S51">
        <f>'Mark II'!C61</f>
        <v>-87.86451490804073</v>
      </c>
      <c r="T51">
        <f>Conventional!Q61</f>
        <v>110402.89634019975</v>
      </c>
      <c r="U51">
        <f>'Beam Balanced'!Q61</f>
        <v>131948.4017300316</v>
      </c>
      <c r="V51">
        <f>'Mark II'!P61</f>
        <v>67557.94155316986</v>
      </c>
    </row>
    <row r="52" spans="1:22" ht="12.75">
      <c r="A52">
        <f t="shared" si="0"/>
        <v>235</v>
      </c>
      <c r="B52">
        <f>Conventional!J62</f>
        <v>71.58413251439045</v>
      </c>
      <c r="C52">
        <f>'Mark II'!I62</f>
        <v>75.52594698417558</v>
      </c>
      <c r="D52">
        <f>'Air Balanced'!I62</f>
        <v>110.0319551764628</v>
      </c>
      <c r="E52">
        <f>RM!I62</f>
        <v>133.30180432239192</v>
      </c>
      <c r="F52">
        <f>'Beam Balanced'!J62</f>
        <v>120.71034423641602</v>
      </c>
      <c r="G52">
        <f>Conventional!K62</f>
        <v>-1.5623113439040823</v>
      </c>
      <c r="H52">
        <f>'Mark II'!J62</f>
        <v>-4.597008712018086</v>
      </c>
      <c r="I52">
        <f>'Air Balanced'!J62</f>
        <v>-3.1726452826332547</v>
      </c>
      <c r="J52">
        <f>RM!J62</f>
        <v>-2.069796981665382</v>
      </c>
      <c r="K52">
        <f>'Beam Balanced'!K62</f>
        <v>-2.576565106112886</v>
      </c>
      <c r="L52">
        <f>Conventional!L62</f>
        <v>-1.072175044810998</v>
      </c>
      <c r="M52">
        <f>'Mark II'!K62</f>
        <v>-0.1176338086596847</v>
      </c>
      <c r="N52">
        <f>'Air Balanced'!K62</f>
        <v>-1.3278339192076742</v>
      </c>
      <c r="O52">
        <f>RM!K62</f>
        <v>-2.8385612320180726</v>
      </c>
      <c r="P52">
        <f>'Beam Balanced'!L62</f>
        <v>-1.8681301356279234</v>
      </c>
      <c r="Q52">
        <f>Conventional!D62</f>
        <v>-31.196143233935096</v>
      </c>
      <c r="R52">
        <f>'Beam Balanced'!D62</f>
        <v>-51.53891083777555</v>
      </c>
      <c r="S52">
        <f>'Mark II'!C62</f>
        <v>-87.51910762641567</v>
      </c>
      <c r="T52">
        <f>Conventional!Q62</f>
        <v>106856.1493211597</v>
      </c>
      <c r="U52">
        <f>'Beam Balanced'!Q62</f>
        <v>120498.75157036236</v>
      </c>
      <c r="V52">
        <f>'Mark II'!P62</f>
        <v>34867.4552994899</v>
      </c>
    </row>
    <row r="53" spans="1:22" ht="12.75">
      <c r="A53">
        <f t="shared" si="0"/>
        <v>240</v>
      </c>
      <c r="B53">
        <f>Conventional!J63</f>
        <v>68.74959767771061</v>
      </c>
      <c r="C53">
        <f>'Mark II'!I63</f>
        <v>67.94885233995085</v>
      </c>
      <c r="D53">
        <f>'Air Balanced'!I63</f>
        <v>104.4814046571307</v>
      </c>
      <c r="E53">
        <f>RM!I63</f>
        <v>129.23716268498853</v>
      </c>
      <c r="F53">
        <f>'Beam Balanced'!J63</f>
        <v>116.02365033349331</v>
      </c>
      <c r="G53">
        <f>Conventional!K63</f>
        <v>-1.7007209020079017</v>
      </c>
      <c r="H53">
        <f>'Mark II'!J63</f>
        <v>-4.546256786534837</v>
      </c>
      <c r="I53">
        <f>'Air Balanced'!J63</f>
        <v>-3.3303303115992637</v>
      </c>
      <c r="J53">
        <f>RM!J63</f>
        <v>-2.43878498244203</v>
      </c>
      <c r="K53">
        <f>'Beam Balanced'!K63</f>
        <v>-2.812016341753628</v>
      </c>
      <c r="L53">
        <f>Conventional!L63</f>
        <v>-0.9965194275780392</v>
      </c>
      <c r="M53">
        <f>'Mark II'!K63</f>
        <v>0.3654284806186185</v>
      </c>
      <c r="N53">
        <f>'Air Balanced'!K63</f>
        <v>-1.135377623660211</v>
      </c>
      <c r="O53">
        <f>RM!K63</f>
        <v>-2.6568198783870005</v>
      </c>
      <c r="P53">
        <f>'Beam Balanced'!L63</f>
        <v>-1.6951988993943583</v>
      </c>
      <c r="Q53">
        <f>Conventional!D63</f>
        <v>-33.72735440054223</v>
      </c>
      <c r="R53">
        <f>'Beam Balanced'!D63</f>
        <v>-55.7864734506388</v>
      </c>
      <c r="S53">
        <f>'Mark II'!C63</f>
        <v>-85.94641383401459</v>
      </c>
      <c r="T53">
        <f>Conventional!Q63</f>
        <v>152817.6771067928</v>
      </c>
      <c r="U53">
        <f>'Beam Balanced'!Q63</f>
        <v>193155.51790135028</v>
      </c>
      <c r="V53">
        <f>'Mark II'!P63</f>
        <v>49393.22250825632</v>
      </c>
    </row>
    <row r="54" spans="1:22" ht="12.75">
      <c r="A54">
        <f t="shared" si="0"/>
        <v>245</v>
      </c>
      <c r="B54">
        <f>Conventional!J64</f>
        <v>65.70488417220999</v>
      </c>
      <c r="C54">
        <f>'Mark II'!I64</f>
        <v>60.55752373611329</v>
      </c>
      <c r="D54">
        <f>'Air Balanced'!I64</f>
        <v>98.71247700689713</v>
      </c>
      <c r="E54">
        <f>RM!I64</f>
        <v>124.61585487756369</v>
      </c>
      <c r="F54">
        <f>'Beam Balanced'!J64</f>
        <v>110.98920756745973</v>
      </c>
      <c r="G54">
        <f>Conventional!K64</f>
        <v>-1.8268281033003744</v>
      </c>
      <c r="H54">
        <f>'Mark II'!J64</f>
        <v>-4.434797162302534</v>
      </c>
      <c r="I54">
        <f>'Air Balanced'!J64</f>
        <v>-3.4613565901401384</v>
      </c>
      <c r="J54">
        <f>RM!J64</f>
        <v>-2.772784684454905</v>
      </c>
      <c r="K54">
        <f>'Beam Balanced'!K64</f>
        <v>-3.0206656596201467</v>
      </c>
      <c r="L54">
        <f>Conventional!L64</f>
        <v>-0.9079450708973517</v>
      </c>
      <c r="M54">
        <f>'Mark II'!K64</f>
        <v>0.8025413961284278</v>
      </c>
      <c r="N54">
        <f>'Air Balanced'!K64</f>
        <v>-0.9434269425720004</v>
      </c>
      <c r="O54">
        <f>RM!K64</f>
        <v>-2.4048940502547094</v>
      </c>
      <c r="P54">
        <f>'Beam Balanced'!L64</f>
        <v>-1.5022307827103307</v>
      </c>
      <c r="Q54">
        <f>Conventional!D64</f>
        <v>-36.0083099830947</v>
      </c>
      <c r="R54">
        <f>'Beam Balanced'!D64</f>
        <v>-59.504022413738966</v>
      </c>
      <c r="S54">
        <f>'Mark II'!C64</f>
        <v>-83.2877971327176</v>
      </c>
      <c r="T54">
        <f>Conventional!Q64</f>
        <v>168743.16390638967</v>
      </c>
      <c r="U54">
        <f>'Beam Balanced'!Q64</f>
        <v>218082.87135554897</v>
      </c>
      <c r="V54">
        <f>'Mark II'!P64</f>
        <v>62619.83610549499</v>
      </c>
    </row>
    <row r="55" spans="1:22" ht="12.75">
      <c r="A55">
        <f t="shared" si="0"/>
        <v>250</v>
      </c>
      <c r="B55">
        <f>Conventional!J65</f>
        <v>62.47299228195858</v>
      </c>
      <c r="C55">
        <f>'Mark II'!I65</f>
        <v>53.439524468947475</v>
      </c>
      <c r="D55">
        <f>'Air Balanced'!I65</f>
        <v>92.76935468295405</v>
      </c>
      <c r="E55">
        <f>RM!I65</f>
        <v>119.50681584800813</v>
      </c>
      <c r="F55">
        <f>'Beam Balanced'!J65</f>
        <v>105.65418827748087</v>
      </c>
      <c r="G55">
        <f>Conventional!K65</f>
        <v>-1.9391351341508427</v>
      </c>
      <c r="H55">
        <f>'Mark II'!J65</f>
        <v>-4.270799560299489</v>
      </c>
      <c r="I55">
        <f>'Air Balanced'!J65</f>
        <v>-3.565873394365852</v>
      </c>
      <c r="J55">
        <f>RM!J65</f>
        <v>-3.065423417733337</v>
      </c>
      <c r="K55">
        <f>'Beam Balanced'!K65</f>
        <v>-3.2010115739873157</v>
      </c>
      <c r="L55">
        <f>Conventional!L65</f>
        <v>-0.8085867741312411</v>
      </c>
      <c r="M55">
        <f>'Mark II'!K65</f>
        <v>1.1808299676206282</v>
      </c>
      <c r="N55">
        <f>'Air Balanced'!K65</f>
        <v>-0.7525510924688352</v>
      </c>
      <c r="O55">
        <f>RM!K65</f>
        <v>-2.107083162931227</v>
      </c>
      <c r="P55">
        <f>'Beam Balanced'!L65</f>
        <v>-1.2984522876404594</v>
      </c>
      <c r="Q55">
        <f>Conventional!D65</f>
        <v>-38.01340711530691</v>
      </c>
      <c r="R55">
        <f>'Beam Balanced'!D65</f>
        <v>-62.6738727507324</v>
      </c>
      <c r="S55">
        <f>'Mark II'!C65</f>
        <v>-79.71144720807659</v>
      </c>
      <c r="T55">
        <f>Conventional!Q65</f>
        <v>185549.92671119806</v>
      </c>
      <c r="U55">
        <f>'Beam Balanced'!Q65</f>
        <v>245913.25974185986</v>
      </c>
      <c r="V55">
        <f>'Mark II'!P65</f>
        <v>82011.09704803117</v>
      </c>
    </row>
    <row r="56" spans="1:22" ht="12.75">
      <c r="A56">
        <f t="shared" si="0"/>
        <v>255</v>
      </c>
      <c r="B56">
        <f>Conventional!J66</f>
        <v>59.07889300120684</v>
      </c>
      <c r="C56">
        <f>'Mark II'!I66</f>
        <v>46.66711869161349</v>
      </c>
      <c r="D56">
        <f>'Air Balanced'!I66</f>
        <v>86.69590738064055</v>
      </c>
      <c r="E56">
        <f>RM!I66</f>
        <v>113.98399779661382</v>
      </c>
      <c r="F56">
        <f>'Beam Balanced'!J66</f>
        <v>100.06649894716836</v>
      </c>
      <c r="G56">
        <f>Conventional!K66</f>
        <v>-2.0364595684510434</v>
      </c>
      <c r="H56">
        <f>'Mark II'!J66</f>
        <v>-4.063443466400392</v>
      </c>
      <c r="I56">
        <f>'Air Balanced'!J66</f>
        <v>-3.6440683813880983</v>
      </c>
      <c r="J56">
        <f>RM!J66</f>
        <v>-3.3136908308365864</v>
      </c>
      <c r="K56">
        <f>'Beam Balanced'!K66</f>
        <v>-3.3526135981875083</v>
      </c>
      <c r="L56">
        <f>Conventional!L66</f>
        <v>-0.700715260469538</v>
      </c>
      <c r="M56">
        <f>'Mark II'!K66</f>
        <v>1.4930235970173809</v>
      </c>
      <c r="N56">
        <f>'Air Balanced'!K66</f>
        <v>-0.5630264276172793</v>
      </c>
      <c r="O56">
        <f>RM!K66</f>
        <v>-1.787596878218526</v>
      </c>
      <c r="P56">
        <f>'Beam Balanced'!L66</f>
        <v>-1.0915023820994159</v>
      </c>
      <c r="Q56">
        <f>Conventional!D66</f>
        <v>-39.72304529642803</v>
      </c>
      <c r="R56">
        <f>'Beam Balanced'!D66</f>
        <v>-65.29594425581237</v>
      </c>
      <c r="S56">
        <f>'Mark II'!C66</f>
        <v>-75.39737816476918</v>
      </c>
      <c r="T56">
        <f>Conventional!Q66</f>
        <v>214792.05602208822</v>
      </c>
      <c r="U56">
        <f>'Beam Balanced'!Q66</f>
        <v>295156.80276223307</v>
      </c>
      <c r="V56">
        <f>'Mark II'!P66</f>
        <v>90822.20976022421</v>
      </c>
    </row>
    <row r="57" spans="1:22" ht="12.75">
      <c r="A57">
        <f t="shared" si="0"/>
        <v>260</v>
      </c>
      <c r="B57">
        <f>Conventional!J67</f>
        <v>55.54902101459464</v>
      </c>
      <c r="C57">
        <f>'Mark II'!I67</f>
        <v>40.296848674143625</v>
      </c>
      <c r="D57">
        <f>'Air Balanced'!I67</f>
        <v>80.5356752887157</v>
      </c>
      <c r="E57">
        <f>RM!I67</f>
        <v>108.12179109809546</v>
      </c>
      <c r="F57">
        <f>'Beam Balanced'!J67</f>
        <v>94.27349269849019</v>
      </c>
      <c r="G57">
        <f>Conventional!K67</f>
        <v>-2.1179231919673196</v>
      </c>
      <c r="H57">
        <f>'Mark II'!J67</f>
        <v>-3.822162010481918</v>
      </c>
      <c r="I57">
        <f>'Air Balanced'!J67</f>
        <v>-3.696139255154913</v>
      </c>
      <c r="J57">
        <f>RM!J67</f>
        <v>-3.5173240191110184</v>
      </c>
      <c r="K57">
        <f>'Beam Balanced'!K67</f>
        <v>-3.4758037492069005</v>
      </c>
      <c r="L57">
        <f>Conventional!L67</f>
        <v>-0.5865207908111393</v>
      </c>
      <c r="M57">
        <f>'Mark II'!K67</f>
        <v>1.7372959744519871</v>
      </c>
      <c r="N57">
        <f>'Air Balanced'!K67</f>
        <v>-0.37492528813258985</v>
      </c>
      <c r="O57">
        <f>RM!K67</f>
        <v>-1.4662176042800816</v>
      </c>
      <c r="P57">
        <f>'Beam Balanced'!L67</f>
        <v>-0.8869429283562561</v>
      </c>
      <c r="Q57">
        <f>Conventional!D67</f>
        <v>-41.12316893990929</v>
      </c>
      <c r="R57">
        <f>'Beam Balanced'!D67</f>
        <v>-67.3820623724963</v>
      </c>
      <c r="S57">
        <f>'Mark II'!C67</f>
        <v>-70.5238477101987</v>
      </c>
      <c r="T57">
        <f>Conventional!Q67</f>
        <v>232630.2466396588</v>
      </c>
      <c r="U57">
        <f>'Beam Balanced'!Q67</f>
        <v>326115.5814500195</v>
      </c>
      <c r="V57">
        <f>'Mark II'!P67</f>
        <v>118335.30893639219</v>
      </c>
    </row>
    <row r="58" spans="1:22" ht="12.75">
      <c r="A58">
        <f t="shared" si="0"/>
        <v>265</v>
      </c>
      <c r="B58">
        <f>Conventional!J68</f>
        <v>51.91082416570414</v>
      </c>
      <c r="C58">
        <f>'Mark II'!I68</f>
        <v>34.370180515735235</v>
      </c>
      <c r="D58">
        <f>'Air Balanced'!I68</f>
        <v>74.33187962400501</v>
      </c>
      <c r="E58">
        <f>RM!I68</f>
        <v>101.99188352953334</v>
      </c>
      <c r="F58">
        <f>'Beam Balanced'!J68</f>
        <v>88.3211656441192</v>
      </c>
      <c r="G58">
        <f>Conventional!K68</f>
        <v>-2.1829181093343006</v>
      </c>
      <c r="H58">
        <f>'Mark II'!J68</f>
        <v>-3.556000895045034</v>
      </c>
      <c r="I58">
        <f>'Air Balanced'!J68</f>
        <v>-3.7222773988264097</v>
      </c>
      <c r="J58">
        <f>RM!J68</f>
        <v>-3.67794454113727</v>
      </c>
      <c r="K58">
        <f>'Beam Balanced'!K68</f>
        <v>-3.5713962326225897</v>
      </c>
      <c r="L58">
        <f>Conventional!L68</f>
        <v>-0.46794960360644783</v>
      </c>
      <c r="M58">
        <f>'Mark II'!K68</f>
        <v>1.9164366886131088</v>
      </c>
      <c r="N58">
        <f>'Air Balanced'!K68</f>
        <v>-0.18820216252127864</v>
      </c>
      <c r="O58">
        <f>RM!K68</f>
        <v>-1.1565140191497787</v>
      </c>
      <c r="P58">
        <f>'Beam Balanced'!L68</f>
        <v>-0.6882455818745734</v>
      </c>
      <c r="Q58">
        <f>Conventional!D68</f>
        <v>-42.204458835744475</v>
      </c>
      <c r="R58">
        <f>'Beam Balanced'!D68</f>
        <v>-68.95069632563373</v>
      </c>
      <c r="S58">
        <f>'Mark II'!C68</f>
        <v>-65.25662192627566</v>
      </c>
      <c r="T58">
        <f>Conventional!Q68</f>
        <v>273002.250421807</v>
      </c>
      <c r="U58">
        <f>'Beam Balanced'!Q68</f>
        <v>394044.58900628216</v>
      </c>
      <c r="V58">
        <f>'Mark II'!P68</f>
        <v>172816.7861243278</v>
      </c>
    </row>
    <row r="59" spans="1:22" ht="12.75">
      <c r="A59">
        <f t="shared" si="0"/>
        <v>270</v>
      </c>
      <c r="B59">
        <f>Conventional!J69</f>
        <v>48.19239261062811</v>
      </c>
      <c r="C59">
        <f>'Mark II'!I69</f>
        <v>28.914936677515744</v>
      </c>
      <c r="D59">
        <f>'Air Balanced'!I69</f>
        <v>68.12744128802197</v>
      </c>
      <c r="E59">
        <f>RM!I69</f>
        <v>95.6615011558386</v>
      </c>
      <c r="F59">
        <f>'Beam Balanced'!J69</f>
        <v>82.25377251886793</v>
      </c>
      <c r="G59">
        <f>Conventional!K69</f>
        <v>-2.2310589330456185</v>
      </c>
      <c r="H59">
        <f>'Mark II'!J69</f>
        <v>-3.2731463029316945</v>
      </c>
      <c r="I59">
        <f>'Air Balanced'!J69</f>
        <v>-3.7226630015898254</v>
      </c>
      <c r="J59">
        <f>RM!J69</f>
        <v>-3.7982294242168475</v>
      </c>
      <c r="K59">
        <f>'Beam Balanced'!K69</f>
        <v>-3.6404358751507626</v>
      </c>
      <c r="L59">
        <f>Conventional!L69</f>
        <v>-0.34660370819155145</v>
      </c>
      <c r="M59">
        <f>'Mark II'!K69</f>
        <v>2.0366345285971894</v>
      </c>
      <c r="N59">
        <f>'Air Balanced'!K69</f>
        <v>-0.002776450954631257</v>
      </c>
      <c r="O59">
        <f>RM!K69</f>
        <v>-0.8660858016050206</v>
      </c>
      <c r="P59">
        <f>'Beam Balanced'!L69</f>
        <v>-0.49707076588425914</v>
      </c>
      <c r="Q59">
        <f>Conventional!D69</f>
        <v>-42.96134145134148</v>
      </c>
      <c r="R59">
        <f>'Beam Balanced'!D69</f>
        <v>-70.0226623048461</v>
      </c>
      <c r="S59">
        <f>'Mark II'!C69</f>
        <v>-59.741719004879215</v>
      </c>
      <c r="T59">
        <f>Conventional!Q69</f>
        <v>236347.26334920299</v>
      </c>
      <c r="U59">
        <f>'Beam Balanced'!Q69</f>
        <v>336142.0085657146</v>
      </c>
      <c r="V59">
        <f>'Mark II'!P69</f>
        <v>239919.6067355295</v>
      </c>
    </row>
    <row r="60" spans="1:22" ht="12.75">
      <c r="A60">
        <f t="shared" si="0"/>
        <v>275</v>
      </c>
      <c r="B60">
        <f>Conventional!J70</f>
        <v>44.42217690594899</v>
      </c>
      <c r="C60">
        <f>'Mark II'!I70</f>
        <v>23.947210291128446</v>
      </c>
      <c r="D60">
        <f>'Air Balanced'!I70</f>
        <v>61.96498932330645</v>
      </c>
      <c r="E60">
        <f>RM!I70</f>
        <v>89.19273172280502</v>
      </c>
      <c r="F60">
        <f>'Beam Balanced'!J70</f>
        <v>76.11376920047603</v>
      </c>
      <c r="G60">
        <f>Conventional!K70</f>
        <v>-2.262129422807474</v>
      </c>
      <c r="H60">
        <f>'Mark II'!J70</f>
        <v>-2.9806358318323785</v>
      </c>
      <c r="I60">
        <f>'Air Balanced'!J70</f>
        <v>-3.6974711788293138</v>
      </c>
      <c r="J60">
        <f>RM!J70</f>
        <v>-3.8812616598201433</v>
      </c>
      <c r="K60">
        <f>'Beam Balanced'!K70</f>
        <v>-3.6840019910351427</v>
      </c>
      <c r="L60">
        <f>Conventional!L70</f>
        <v>-0.22370092857914659</v>
      </c>
      <c r="M60">
        <f>'Mark II'!K70</f>
        <v>2.1061596383006074</v>
      </c>
      <c r="N60">
        <f>'Air Balanced'!K70</f>
        <v>0.18138837941086056</v>
      </c>
      <c r="O60">
        <f>RM!K70</f>
        <v>-0.5978560105841527</v>
      </c>
      <c r="P60">
        <f>'Beam Balanced'!L70</f>
        <v>-0.3136667832602736</v>
      </c>
      <c r="Q60">
        <f>Conventional!D70</f>
        <v>-43.3909630730639</v>
      </c>
      <c r="R60">
        <f>'Beam Balanced'!D70</f>
        <v>-70.61792680991329</v>
      </c>
      <c r="S60">
        <f>'Mark II'!C70</f>
        <v>-54.10156511382391</v>
      </c>
      <c r="T60">
        <f>Conventional!Q70</f>
        <v>216321.6460228681</v>
      </c>
      <c r="U60">
        <f>'Beam Balanced'!Q70</f>
        <v>305318.8065031994</v>
      </c>
      <c r="V60">
        <f>'Mark II'!P70</f>
        <v>291264.63903651596</v>
      </c>
    </row>
    <row r="61" spans="1:22" ht="12.75">
      <c r="A61">
        <f t="shared" si="0"/>
        <v>280</v>
      </c>
      <c r="B61">
        <f>Conventional!J71</f>
        <v>40.62879300006805</v>
      </c>
      <c r="C61">
        <f>'Mark II'!I71</f>
        <v>19.473484586736166</v>
      </c>
      <c r="D61">
        <f>'Air Balanced'!I71</f>
        <v>55.886841769761666</v>
      </c>
      <c r="E61">
        <f>RM!I71</f>
        <v>82.64257761484298</v>
      </c>
      <c r="F61">
        <f>'Beam Balanced'!J71</f>
        <v>69.94198926009196</v>
      </c>
      <c r="G61">
        <f>Conventional!K71</f>
        <v>-2.2760303435285625</v>
      </c>
      <c r="H61">
        <f>'Mark II'!J71</f>
        <v>-2.6842354226353677</v>
      </c>
      <c r="I61">
        <f>'Air Balanced'!J71</f>
        <v>-3.646888532126869</v>
      </c>
      <c r="J61">
        <f>RM!J71</f>
        <v>-3.9300924647772266</v>
      </c>
      <c r="K61">
        <f>'Beam Balanced'!K71</f>
        <v>-3.703067964230442</v>
      </c>
      <c r="L61">
        <f>Conventional!L71</f>
        <v>-0.1000836773815575</v>
      </c>
      <c r="M61">
        <f>'Mark II'!K71</f>
        <v>2.134168312950995</v>
      </c>
      <c r="N61">
        <f>'Air Balanced'!K71</f>
        <v>0.3642096246425885</v>
      </c>
      <c r="O61">
        <f>RM!K71</f>
        <v>-0.3515958595253812</v>
      </c>
      <c r="P61">
        <f>'Beam Balanced'!L71</f>
        <v>-0.13727095841565043</v>
      </c>
      <c r="Q61">
        <f>Conventional!D71</f>
        <v>-43.49223903512189</v>
      </c>
      <c r="R61">
        <f>'Beam Balanced'!D71</f>
        <v>-70.75341167972633</v>
      </c>
      <c r="S61">
        <f>'Mark II'!C71</f>
        <v>-48.43402153801739</v>
      </c>
      <c r="T61">
        <f>Conventional!Q71</f>
        <v>190121.20801635663</v>
      </c>
      <c r="U61">
        <f>'Beam Balanced'!Q71</f>
        <v>264100.7237058289</v>
      </c>
      <c r="V61">
        <f>'Mark II'!P71</f>
        <v>337013.4743211956</v>
      </c>
    </row>
    <row r="62" spans="1:22" ht="12.75">
      <c r="A62">
        <f t="shared" si="0"/>
        <v>285</v>
      </c>
      <c r="B62">
        <f>Conventional!J72</f>
        <v>36.840904189508</v>
      </c>
      <c r="C62">
        <f>'Mark II'!I72</f>
        <v>15.492739340560792</v>
      </c>
      <c r="D62">
        <f>'Air Balanced'!I72</f>
        <v>49.934942710783545</v>
      </c>
      <c r="E62">
        <f>RM!I72</f>
        <v>76.06343478502744</v>
      </c>
      <c r="F62">
        <f>'Beam Balanced'!J72</f>
        <v>63.777975399229696</v>
      </c>
      <c r="G62">
        <f>Conventional!K72</f>
        <v>-2.2727332863360292</v>
      </c>
      <c r="H62">
        <f>'Mark II'!J72</f>
        <v>-2.3884471477052243</v>
      </c>
      <c r="I62">
        <f>'Air Balanced'!J72</f>
        <v>-3.5711394353868724</v>
      </c>
      <c r="J62">
        <f>RM!J72</f>
        <v>-3.947485697889323</v>
      </c>
      <c r="K62">
        <f>'Beam Balanced'!K72</f>
        <v>-3.698408316517357</v>
      </c>
      <c r="L62">
        <f>Conventional!L72</f>
        <v>0.023738111668059735</v>
      </c>
      <c r="M62">
        <f>'Mark II'!K72</f>
        <v>2.12976076992783</v>
      </c>
      <c r="N62">
        <f>'Air Balanced'!K72</f>
        <v>0.5454153131405006</v>
      </c>
      <c r="O62">
        <f>RM!K72</f>
        <v>-0.12523628785860919</v>
      </c>
      <c r="P62">
        <f>'Beam Balanced'!L72</f>
        <v>0.03354847407486041</v>
      </c>
      <c r="Q62">
        <f>Conventional!D72</f>
        <v>-43.26504950727254</v>
      </c>
      <c r="R62">
        <f>'Beam Balanced'!D72</f>
        <v>-70.44160355098434</v>
      </c>
      <c r="S62">
        <f>'Mark II'!C72</f>
        <v>-42.813521779788985</v>
      </c>
      <c r="T62">
        <f>Conventional!Q72</f>
        <v>162496.29442953237</v>
      </c>
      <c r="U62">
        <f>'Beam Balanced'!Q72</f>
        <v>219994.89909763227</v>
      </c>
      <c r="V62">
        <f>'Mark II'!P72</f>
        <v>366207.541139622</v>
      </c>
    </row>
    <row r="63" spans="1:22" ht="12.75">
      <c r="A63">
        <f t="shared" si="0"/>
        <v>290</v>
      </c>
      <c r="B63">
        <f>Conventional!J73</f>
        <v>33.087165352761104</v>
      </c>
      <c r="C63">
        <f>'Mark II'!I73</f>
        <v>11.998394538533416</v>
      </c>
      <c r="D63">
        <f>'Air Balanced'!I73</f>
        <v>44.150741051812396</v>
      </c>
      <c r="E63">
        <f>RM!I73</f>
        <v>69.50377667154723</v>
      </c>
      <c r="F63">
        <f>'Beam Balanced'!J73</f>
        <v>57.660404812131326</v>
      </c>
      <c r="G63">
        <f>Conventional!K73</f>
        <v>-2.2522433020481385</v>
      </c>
      <c r="H63">
        <f>'Mark II'!J73</f>
        <v>-2.0966068812164256</v>
      </c>
      <c r="I63">
        <f>'Air Balanced'!J73</f>
        <v>-3.470520995382689</v>
      </c>
      <c r="J63">
        <f>RM!J73</f>
        <v>-3.9357948680881267</v>
      </c>
      <c r="K63">
        <f>'Beam Balanced'!K73</f>
        <v>-3.6705423522590226</v>
      </c>
      <c r="L63">
        <f>Conventional!L73</f>
        <v>0.14752353589870065</v>
      </c>
      <c r="M63">
        <f>'Mark II'!K73</f>
        <v>2.1013339720782334</v>
      </c>
      <c r="N63">
        <f>'Air Balanced'!K73</f>
        <v>0.7244817473000109</v>
      </c>
      <c r="O63">
        <f>RM!K73</f>
        <v>0.08417734166228058</v>
      </c>
      <c r="P63">
        <f>'Beam Balanced'!L73</f>
        <v>0.20062902542320463</v>
      </c>
      <c r="Q63">
        <f>Conventional!D73</f>
        <v>-42.709620641655704</v>
      </c>
      <c r="R63">
        <f>'Beam Balanced'!D73</f>
        <v>-69.68975890354135</v>
      </c>
      <c r="S63">
        <f>'Mark II'!C73</f>
        <v>-37.293542765334685</v>
      </c>
      <c r="T63">
        <f>Conventional!Q73</f>
        <v>125394.02368348173</v>
      </c>
      <c r="U63">
        <f>'Beam Balanced'!Q73</f>
        <v>159664.77032476454</v>
      </c>
      <c r="V63">
        <f>'Mark II'!P73</f>
        <v>380257.4714013437</v>
      </c>
    </row>
    <row r="64" spans="1:22" ht="12.75">
      <c r="A64">
        <f t="shared" si="0"/>
        <v>295</v>
      </c>
      <c r="B64">
        <f>Conventional!J74</f>
        <v>29.39621247037968</v>
      </c>
      <c r="C64">
        <f>'Mark II'!I74</f>
        <v>8.980004847822789</v>
      </c>
      <c r="D64">
        <f>'Air Balanced'!I74</f>
        <v>38.57499926334094</v>
      </c>
      <c r="E64">
        <f>RM!I74</f>
        <v>63.008899687461955</v>
      </c>
      <c r="F64">
        <f>'Beam Balanced'!J74</f>
        <v>51.6275644912086</v>
      </c>
      <c r="G64">
        <f>Conventional!K74</f>
        <v>-2.2145717294288545</v>
      </c>
      <c r="H64">
        <f>'Mark II'!J74</f>
        <v>-1.8110338144263762</v>
      </c>
      <c r="I64">
        <f>'Air Balanced'!J74</f>
        <v>-3.345445073082873</v>
      </c>
      <c r="J64">
        <f>RM!J74</f>
        <v>-3.8969261904511643</v>
      </c>
      <c r="K64">
        <f>'Beam Balanced'!K74</f>
        <v>-3.619704192553634</v>
      </c>
      <c r="L64">
        <f>Conventional!L74</f>
        <v>0.2712273234365389</v>
      </c>
      <c r="M64">
        <f>'Mark II'!K74</f>
        <v>2.056208329221524</v>
      </c>
      <c r="N64">
        <f>'Air Balanced'!K74</f>
        <v>0.9005826638652321</v>
      </c>
      <c r="O64">
        <f>RM!K74</f>
        <v>0.27986567361307413</v>
      </c>
      <c r="P64">
        <f>'Beam Balanced'!L74</f>
        <v>0.3660239545793067</v>
      </c>
      <c r="Q64">
        <f>Conventional!D74</f>
        <v>-41.82610675439652</v>
      </c>
      <c r="R64">
        <f>'Beam Balanced'!D74</f>
        <v>-68.49952909478209</v>
      </c>
      <c r="S64">
        <f>'Mark II'!C74</f>
        <v>-31.909747743469197</v>
      </c>
      <c r="T64">
        <f>Conventional!Q74</f>
        <v>96602.48394224694</v>
      </c>
      <c r="U64">
        <f>'Beam Balanced'!Q74</f>
        <v>111935.89251923992</v>
      </c>
      <c r="V64">
        <f>'Mark II'!P74</f>
        <v>384060.6806574173</v>
      </c>
    </row>
    <row r="65" spans="1:22" ht="12.75">
      <c r="A65">
        <f t="shared" si="0"/>
        <v>300</v>
      </c>
      <c r="B65">
        <f>Conventional!J75</f>
        <v>25.796679726802687</v>
      </c>
      <c r="C65">
        <f>'Mark II'!I75</f>
        <v>6.424669146637586</v>
      </c>
      <c r="D65">
        <f>'Air Balanced'!I75</f>
        <v>33.24752433042418</v>
      </c>
      <c r="E65">
        <f>RM!I75</f>
        <v>56.621645508701675</v>
      </c>
      <c r="F65">
        <f>'Beam Balanced'!J75</f>
        <v>45.7178456840013</v>
      </c>
      <c r="G65">
        <f>Conventional!K75</f>
        <v>-2.159719646146196</v>
      </c>
      <c r="H65">
        <f>'Mark II'!J75</f>
        <v>-1.5332014207111218</v>
      </c>
      <c r="I65">
        <f>'Air Balanced'!J75</f>
        <v>-3.196484959750059</v>
      </c>
      <c r="J65">
        <f>RM!J75</f>
        <v>-3.832352507256168</v>
      </c>
      <c r="K65">
        <f>'Beam Balanced'!K75</f>
        <v>-3.545831284324383</v>
      </c>
      <c r="L65">
        <f>Conventional!L75</f>
        <v>0.3949233519934875</v>
      </c>
      <c r="M65">
        <f>'Mark II'!K75</f>
        <v>2.0004732536799796</v>
      </c>
      <c r="N65">
        <f>'Air Balanced'!K75</f>
        <v>1.0725557182249899</v>
      </c>
      <c r="O65">
        <f>RM!K75</f>
        <v>0.4649491169686524</v>
      </c>
      <c r="P65">
        <f>'Beam Balanced'!L75</f>
        <v>0.531869252605517</v>
      </c>
      <c r="Q65">
        <f>Conventional!D75</f>
        <v>-40.61437569819036</v>
      </c>
      <c r="R65">
        <f>'Beam Balanced'!D75</f>
        <v>-66.86687991883376</v>
      </c>
      <c r="S65">
        <f>'Mark II'!C75</f>
        <v>-26.683306153777274</v>
      </c>
      <c r="T65">
        <f>Conventional!Q75</f>
        <v>84282.2902162273</v>
      </c>
      <c r="U65">
        <f>'Beam Balanced'!Q75</f>
        <v>90299.95830196945</v>
      </c>
      <c r="V65">
        <f>'Mark II'!P75</f>
        <v>361942.89979330415</v>
      </c>
    </row>
    <row r="66" spans="1:22" ht="12.75">
      <c r="A66">
        <f t="shared" si="0"/>
        <v>305</v>
      </c>
      <c r="B66">
        <f>Conventional!J76</f>
        <v>22.317226598844055</v>
      </c>
      <c r="C66">
        <f>'Mark II'!I76</f>
        <v>4.3181550204282235</v>
      </c>
      <c r="D66">
        <f>'Air Balanced'!I76</f>
        <v>28.20681877667433</v>
      </c>
      <c r="E66">
        <f>RM!I76</f>
        <v>50.383054194693784</v>
      </c>
      <c r="F66">
        <f>'Beam Balanced'!J76</f>
        <v>39.97023536045635</v>
      </c>
      <c r="G66">
        <f>Conventional!K76</f>
        <v>-2.087671876775179</v>
      </c>
      <c r="H66">
        <f>'Mark II'!J76</f>
        <v>-1.2639084757256178</v>
      </c>
      <c r="I66">
        <f>'Air Balanced'!J76</f>
        <v>-3.0244233322499094</v>
      </c>
      <c r="J66">
        <f>RM!J76</f>
        <v>-3.7431547884047345</v>
      </c>
      <c r="K66">
        <f>'Beam Balanced'!K76</f>
        <v>-3.4485661941269683</v>
      </c>
      <c r="L66">
        <f>Conventional!L76</f>
        <v>0.518728640387873</v>
      </c>
      <c r="M66">
        <f>'Mark II'!K76</f>
        <v>1.938986763366163</v>
      </c>
      <c r="N66">
        <f>'Air Balanced'!K76</f>
        <v>1.238893273732025</v>
      </c>
      <c r="O66">
        <f>RM!K76</f>
        <v>0.6422492657009489</v>
      </c>
      <c r="P66">
        <f>'Beam Balanced'!L76</f>
        <v>0.7002879955309911</v>
      </c>
      <c r="Q66">
        <f>Conventional!D76</f>
        <v>-39.073993860028494</v>
      </c>
      <c r="R66">
        <f>'Beam Balanced'!D76</f>
        <v>-64.78223260022088</v>
      </c>
      <c r="S66">
        <f>'Mark II'!C76</f>
        <v>-21.624065166484538</v>
      </c>
      <c r="T66">
        <f>Conventional!Q76</f>
        <v>83285.2861834804</v>
      </c>
      <c r="U66">
        <f>'Beam Balanced'!Q76</f>
        <v>86740.04622912512</v>
      </c>
      <c r="V66">
        <f>'Mark II'!P76</f>
        <v>336544.4203234495</v>
      </c>
    </row>
    <row r="67" spans="1:22" ht="12.75">
      <c r="A67">
        <f t="shared" si="0"/>
        <v>310</v>
      </c>
      <c r="B67">
        <f>Conventional!J77</f>
        <v>18.986557695008187</v>
      </c>
      <c r="C67">
        <f>'Mark II'!I77</f>
        <v>2.6457600521260543</v>
      </c>
      <c r="D67">
        <f>'Air Balanced'!I77</f>
        <v>23.489656948245138</v>
      </c>
      <c r="E67">
        <f>RM!I77</f>
        <v>44.33292516283752</v>
      </c>
      <c r="F67">
        <f>'Beam Balanced'!J77</f>
        <v>34.424786759249706</v>
      </c>
      <c r="G67">
        <f>Conventional!K77</f>
        <v>-1.9984013423015208</v>
      </c>
      <c r="H67">
        <f>'Mark II'!J77</f>
        <v>-1.0034369809813017</v>
      </c>
      <c r="I67">
        <f>'Air Balanced'!J77</f>
        <v>-2.8302970970575148</v>
      </c>
      <c r="J67">
        <f>RM!J77</f>
        <v>-3.630077419113759</v>
      </c>
      <c r="K67">
        <f>'Beam Balanced'!K77</f>
        <v>-3.3272691607239864</v>
      </c>
      <c r="L67">
        <f>Conventional!L77</f>
        <v>0.6427288919349612</v>
      </c>
      <c r="M67">
        <f>'Mark II'!K77</f>
        <v>1.8754697809503136</v>
      </c>
      <c r="N67">
        <f>'Air Balanced'!K77</f>
        <v>1.3977648039774009</v>
      </c>
      <c r="O67">
        <f>RM!K77</f>
        <v>0.8141896264800841</v>
      </c>
      <c r="P67">
        <f>'Beam Balanced'!L77</f>
        <v>0.8733128835147862</v>
      </c>
      <c r="Q67">
        <f>Conventional!D77</f>
        <v>-37.204406779513825</v>
      </c>
      <c r="R67">
        <f>'Beam Balanced'!D77</f>
        <v>-62.23080210172544</v>
      </c>
      <c r="S67">
        <f>'Mark II'!C77</f>
        <v>-16.733390017245107</v>
      </c>
      <c r="T67">
        <f>Conventional!Q77</f>
        <v>77296.12500251288</v>
      </c>
      <c r="U67">
        <f>'Beam Balanced'!Q77</f>
        <v>74604.22611605388</v>
      </c>
      <c r="V67">
        <f>'Mark II'!P77</f>
        <v>311639.3584064451</v>
      </c>
    </row>
    <row r="68" spans="1:22" ht="12.75">
      <c r="A68">
        <f t="shared" si="0"/>
        <v>315</v>
      </c>
      <c r="B68">
        <f>Conventional!J78</f>
        <v>15.833418370560153</v>
      </c>
      <c r="C68">
        <f>'Mark II'!I78</f>
        <v>1.3929428218503315</v>
      </c>
      <c r="D68">
        <f>'Air Balanced'!I78</f>
        <v>19.13060046597089</v>
      </c>
      <c r="E68">
        <f>RM!I78</f>
        <v>38.510274958476394</v>
      </c>
      <c r="F68">
        <f>'Beam Balanced'!J78</f>
        <v>29.123051204357076</v>
      </c>
      <c r="G68">
        <f>Conventional!K78</f>
        <v>-1.8918835946688206</v>
      </c>
      <c r="H68">
        <f>'Mark II'!J78</f>
        <v>-0.7516903381654337</v>
      </c>
      <c r="I68">
        <f>'Air Balanced'!J78</f>
        <v>-2.6154338893645486</v>
      </c>
      <c r="J68">
        <f>RM!J78</f>
        <v>-3.4935901226166752</v>
      </c>
      <c r="K68">
        <f>'Beam Balanced'!K78</f>
        <v>-3.1810413329355782</v>
      </c>
      <c r="L68">
        <f>Conventional!L78</f>
        <v>0.7669051642966793</v>
      </c>
      <c r="M68">
        <f>'Mark II'!K78</f>
        <v>1.8126483342076178</v>
      </c>
      <c r="N68">
        <f>'Air Balanced'!K78</f>
        <v>1.5470769784684952</v>
      </c>
      <c r="O68">
        <f>RM!K78</f>
        <v>0.9827478446927895</v>
      </c>
      <c r="P68">
        <f>'Beam Balanced'!L78</f>
        <v>1.0528093091257655</v>
      </c>
      <c r="Q68">
        <f>Conventional!D78</f>
        <v>-35.00531366525637</v>
      </c>
      <c r="R68">
        <f>'Beam Balanced'!D78</f>
        <v>-59.193153439770946</v>
      </c>
      <c r="S68">
        <f>'Mark II'!C78</f>
        <v>-12.006595576579974</v>
      </c>
      <c r="T68">
        <f>Conventional!Q78</f>
        <v>73957.14956400747</v>
      </c>
      <c r="U68">
        <f>'Beam Balanced'!Q78</f>
        <v>66844.54958017857</v>
      </c>
      <c r="V68">
        <f>'Mark II'!P78</f>
        <v>282556.02759775147</v>
      </c>
    </row>
    <row r="69" spans="1:22" ht="12.75">
      <c r="A69">
        <f t="shared" si="0"/>
        <v>320</v>
      </c>
      <c r="B69">
        <f>Conventional!J79</f>
        <v>12.886549173107914</v>
      </c>
      <c r="C69">
        <f>'Mark II'!I79</f>
        <v>0.5457600251716779</v>
      </c>
      <c r="D69">
        <f>'Air Balanced'!I79</f>
        <v>15.161476121126444</v>
      </c>
      <c r="E69">
        <f>RM!I79</f>
        <v>32.953685562282935</v>
      </c>
      <c r="F69">
        <f>'Beam Balanced'!J79</f>
        <v>24.108449736719876</v>
      </c>
      <c r="G69">
        <f>Conventional!K79</f>
        <v>-1.7681215184713432</v>
      </c>
      <c r="H69">
        <f>'Mark II'!J79</f>
        <v>-0.5083096780071921</v>
      </c>
      <c r="I69">
        <f>'Air Balanced'!J79</f>
        <v>-2.381474606906667</v>
      </c>
      <c r="J69">
        <f>RM!J79</f>
        <v>-3.3339536377160752</v>
      </c>
      <c r="K69">
        <f>'Beam Balanced'!K79</f>
        <v>-3.008760880582319</v>
      </c>
      <c r="L69">
        <f>Conventional!L79</f>
        <v>0.8910606681922245</v>
      </c>
      <c r="M69">
        <f>'Mark II'!K79</f>
        <v>1.752410849573323</v>
      </c>
      <c r="N69">
        <f>'Air Balanced'!K79</f>
        <v>1.6845742166654136</v>
      </c>
      <c r="O69">
        <f>RM!K79</f>
        <v>1.1494286684310573</v>
      </c>
      <c r="P69">
        <f>'Beam Balanced'!L79</f>
        <v>1.240382673812018</v>
      </c>
      <c r="Q69">
        <f>Conventional!D79</f>
        <v>-32.47723672051049</v>
      </c>
      <c r="R69">
        <f>'Beam Balanced'!D79</f>
        <v>-55.6460384877158</v>
      </c>
      <c r="S69">
        <f>'Mark II'!C79</f>
        <v>-7.434961152577045</v>
      </c>
      <c r="T69">
        <f>Conventional!Q79</f>
        <v>66115.27904885064</v>
      </c>
      <c r="U69">
        <f>'Beam Balanced'!Q79</f>
        <v>51684.78988400928</v>
      </c>
      <c r="V69">
        <f>'Mark II'!P79</f>
        <v>250066.12376785558</v>
      </c>
    </row>
    <row r="70" spans="1:22" ht="12.75">
      <c r="A70">
        <f t="shared" si="0"/>
        <v>325</v>
      </c>
      <c r="B70">
        <f>Conventional!J80</f>
        <v>10.174582038002772</v>
      </c>
      <c r="C70">
        <f>'Mark II'!I80</f>
        <v>0.09114486863140103</v>
      </c>
      <c r="D70">
        <f>'Air Balanced'!I80</f>
        <v>11.610848246945787</v>
      </c>
      <c r="E70">
        <f>RM!I80</f>
        <v>27.701537508509762</v>
      </c>
      <c r="F70">
        <f>'Beam Balanced'!J80</f>
        <v>19.426555906694585</v>
      </c>
      <c r="G70">
        <f>Conventional!K80</f>
        <v>-1.6271802810630858</v>
      </c>
      <c r="H70">
        <f>'Mark II'!J80</f>
        <v>-0.27276909392416615</v>
      </c>
      <c r="I70">
        <f>'Air Balanced'!J80</f>
        <v>-2.1303767245083947</v>
      </c>
      <c r="J70">
        <f>RM!J80</f>
        <v>-3.151288832263903</v>
      </c>
      <c r="K70">
        <f>'Beam Balanced'!K80</f>
        <v>-2.809136298015175</v>
      </c>
      <c r="L70">
        <f>Conventional!L80</f>
        <v>1.0147469809770426</v>
      </c>
      <c r="M70">
        <f>'Mark II'!K80</f>
        <v>1.6959600437995386</v>
      </c>
      <c r="N70">
        <f>'Air Balanced'!K80</f>
        <v>1.8079770723504547</v>
      </c>
      <c r="O70">
        <f>RM!K80</f>
        <v>1.3152392088239915</v>
      </c>
      <c r="P70">
        <f>'Beam Balanced'!L80</f>
        <v>1.437254604924761</v>
      </c>
      <c r="Q70">
        <f>Conventional!D80</f>
        <v>-29.62228698952692</v>
      </c>
      <c r="R70">
        <f>'Beam Balanced'!D80</f>
        <v>-51.563615431356304</v>
      </c>
      <c r="S70">
        <f>'Mark II'!C80</f>
        <v>-3.007361008489355</v>
      </c>
      <c r="T70">
        <f>Conventional!Q80</f>
        <v>54639.99331586965</v>
      </c>
      <c r="U70">
        <f>'Beam Balanced'!Q80</f>
        <v>30656.936619168962</v>
      </c>
      <c r="V70">
        <f>'Mark II'!P80</f>
        <v>215020.49556945797</v>
      </c>
    </row>
    <row r="71" spans="1:22" ht="12.75">
      <c r="A71">
        <f aca="true" t="shared" si="1" ref="A71:A77">A70+5</f>
        <v>330</v>
      </c>
      <c r="B71">
        <f>Conventional!J81</f>
        <v>7.725861104087766</v>
      </c>
      <c r="C71">
        <f>'Mark II'!I81</f>
        <v>0.017058095014575104</v>
      </c>
      <c r="D71">
        <f>'Air Balanced'!I81</f>
        <v>8.503524125011742</v>
      </c>
      <c r="E71">
        <f>RM!I81</f>
        <v>22.79212030745717</v>
      </c>
      <c r="F71">
        <f>'Beam Balanced'!J81</f>
        <v>15.125250526529591</v>
      </c>
      <c r="G71">
        <f>Conventional!K81</f>
        <v>-1.4692325603490035</v>
      </c>
      <c r="H71">
        <f>'Mark II'!J81</f>
        <v>-0.04445206417009556</v>
      </c>
      <c r="I71">
        <f>'Air Balanced'!J81</f>
        <v>-1.8643944731604272</v>
      </c>
      <c r="J71">
        <f>RM!J81</f>
        <v>-2.9456503206315547</v>
      </c>
      <c r="K71">
        <f>'Beam Balanced'!K81</f>
        <v>-2.580783228098996</v>
      </c>
      <c r="L71">
        <f>Conventional!L81</f>
        <v>1.137190049513711</v>
      </c>
      <c r="M71">
        <f>'Mark II'!K81</f>
        <v>1.6439483721641945</v>
      </c>
      <c r="N71">
        <f>'Air Balanced'!K81</f>
        <v>1.915148815657992</v>
      </c>
      <c r="O71">
        <f>RM!K81</f>
        <v>1.4806565100133096</v>
      </c>
      <c r="P71">
        <f>'Beam Balanced'!L81</f>
        <v>1.6440936134473436</v>
      </c>
      <c r="Q71">
        <f>Conventional!D81</f>
        <v>-26.445125301041983</v>
      </c>
      <c r="R71">
        <f>'Beam Balanced'!D81</f>
        <v>-46.91918967026794</v>
      </c>
      <c r="S71">
        <f>'Mark II'!C81</f>
        <v>1.288437524297145</v>
      </c>
      <c r="T71">
        <f>Conventional!Q81</f>
        <v>43239.1367773402</v>
      </c>
      <c r="U71">
        <f>'Beam Balanced'!Q81</f>
        <v>10337.5059565212</v>
      </c>
      <c r="V71">
        <f>'Mark II'!P81</f>
        <v>177937.65246218877</v>
      </c>
    </row>
    <row r="72" spans="1:22" ht="12.75">
      <c r="A72">
        <f t="shared" si="1"/>
        <v>335</v>
      </c>
      <c r="B72">
        <f>Conventional!J82</f>
        <v>5.568171492560734</v>
      </c>
      <c r="C72">
        <f>'Mark II'!I82</f>
        <v>0.3125381451484801</v>
      </c>
      <c r="D72">
        <f>'Air Balanced'!I82</f>
        <v>5.8601336099685515</v>
      </c>
      <c r="E72">
        <f>RM!I82</f>
        <v>18.263609949308357</v>
      </c>
      <c r="F72">
        <f>'Beam Balanced'!J82</f>
        <v>11.254695719417468</v>
      </c>
      <c r="G72">
        <f>Conventional!K82</f>
        <v>-1.2946137669162194</v>
      </c>
      <c r="H72">
        <f>'Mark II'!J82</f>
        <v>0.177288030080343</v>
      </c>
      <c r="I72">
        <f>'Air Balanced'!J82</f>
        <v>-1.5860343090259141</v>
      </c>
      <c r="J72">
        <f>RM!J82</f>
        <v>-2.717106214889289</v>
      </c>
      <c r="K72">
        <f>'Beam Balanced'!K82</f>
        <v>-2.322332884267274</v>
      </c>
      <c r="L72">
        <f>Conventional!L82</f>
        <v>1.2572182330463206</v>
      </c>
      <c r="M72">
        <f>'Mark II'!K82</f>
        <v>1.5965925423048497</v>
      </c>
      <c r="N72">
        <f>'Air Balanced'!K82</f>
        <v>2.0042733527026018</v>
      </c>
      <c r="O72">
        <f>RM!K82</f>
        <v>1.6455833846797017</v>
      </c>
      <c r="P72">
        <f>'Beam Balanced'!L82</f>
        <v>1.8607875945919083</v>
      </c>
      <c r="Q72">
        <f>Conventional!D82</f>
        <v>-22.954107737342984</v>
      </c>
      <c r="R72">
        <f>'Beam Balanced'!D82</f>
        <v>-41.68764401733981</v>
      </c>
      <c r="S72">
        <f>'Mark II'!C82</f>
        <v>5.464750957365338</v>
      </c>
      <c r="T72">
        <f>Conventional!Q82</f>
        <v>18330.957772908732</v>
      </c>
      <c r="U72">
        <f>'Beam Balanced'!Q82</f>
        <v>-33622.395724820904</v>
      </c>
      <c r="V72">
        <f>'Mark II'!P82</f>
        <v>133263.15051194176</v>
      </c>
    </row>
    <row r="73" spans="1:22" ht="12.75">
      <c r="A73">
        <f t="shared" si="1"/>
        <v>340</v>
      </c>
      <c r="B73">
        <f>Conventional!J83</f>
        <v>3.7283609967116362</v>
      </c>
      <c r="C73">
        <f>'Mark II'!I83</f>
        <v>0.9676720344317735</v>
      </c>
      <c r="D73">
        <f>'Air Balanced'!I83</f>
        <v>3.696821598648506</v>
      </c>
      <c r="E73">
        <f>RM!I83</f>
        <v>14.153900691722354</v>
      </c>
      <c r="F73">
        <f>'Beam Balanced'!J83</f>
        <v>7.867060272337073</v>
      </c>
      <c r="G73">
        <f>Conventional!K83</f>
        <v>-1.1038862975094585</v>
      </c>
      <c r="H73">
        <f>'Mark II'!J83</f>
        <v>0.393080333569976</v>
      </c>
      <c r="I73">
        <f>'Air Balanced'!J83</f>
        <v>-1.2979872067920275</v>
      </c>
      <c r="J73">
        <f>RM!J83</f>
        <v>-2.4658255545516017</v>
      </c>
      <c r="K73">
        <f>'Beam Balanced'!K83</f>
        <v>-2.0325812682482365</v>
      </c>
      <c r="L73">
        <f>Conventional!L83</f>
        <v>1.3731972794398122</v>
      </c>
      <c r="M73">
        <f>'Mark II'!K83</f>
        <v>1.5537667357947895</v>
      </c>
      <c r="N73">
        <f>'Air Balanced'!K83</f>
        <v>2.0740220969678624</v>
      </c>
      <c r="O73">
        <f>RM!K83</f>
        <v>1.8092931261563936</v>
      </c>
      <c r="P73">
        <f>'Beam Balanced'!L83</f>
        <v>2.0861501076285296</v>
      </c>
      <c r="Q73">
        <f>Conventional!D83</f>
        <v>-19.16258794370171</v>
      </c>
      <c r="R73">
        <f>'Beam Balanced'!D83</f>
        <v>-35.84873754129229</v>
      </c>
      <c r="S73">
        <f>'Mark II'!C83</f>
        <v>9.533177014077815</v>
      </c>
      <c r="T73">
        <f>Conventional!Q83</f>
        <v>-1603.5131731336296</v>
      </c>
      <c r="U73">
        <f>'Beam Balanced'!Q83</f>
        <v>-68571.15585534764</v>
      </c>
      <c r="V73">
        <f>'Mark II'!P83</f>
        <v>87530.50595184186</v>
      </c>
    </row>
    <row r="74" spans="1:22" ht="12.75">
      <c r="A74">
        <f t="shared" si="1"/>
        <v>345</v>
      </c>
      <c r="B74">
        <f>Conventional!J84</f>
        <v>2.2318431326734802</v>
      </c>
      <c r="C74">
        <f>'Mark II'!I84</f>
        <v>1.9735040536108739</v>
      </c>
      <c r="D74">
        <f>'Air Balanced'!I84</f>
        <v>2.025083807080667</v>
      </c>
      <c r="E74">
        <f>RM!I84</f>
        <v>10.500276892099762</v>
      </c>
      <c r="F74">
        <f>'Beam Balanced'!J84</f>
        <v>5.015913335524514</v>
      </c>
      <c r="G74">
        <f>Conventional!K84</f>
        <v>-0.8979107184228936</v>
      </c>
      <c r="H74">
        <f>'Mark II'!J84</f>
        <v>0.6034992115074602</v>
      </c>
      <c r="I74">
        <f>'Air Balanced'!J84</f>
        <v>-1.003042674940703</v>
      </c>
      <c r="J74">
        <f>RM!J84</f>
        <v>-2.192174279773555</v>
      </c>
      <c r="K74">
        <f>'Beam Balanced'!K84</f>
        <v>-1.7106881620875356</v>
      </c>
      <c r="L74">
        <f>Conventional!L84</f>
        <v>1.4829804312534305</v>
      </c>
      <c r="M74">
        <f>'Mark II'!K84</f>
        <v>1.5150765242108548</v>
      </c>
      <c r="N74">
        <f>'Air Balanced'!K84</f>
        <v>2.1236855767526057</v>
      </c>
      <c r="O74">
        <f>RM!K84</f>
        <v>1.9703679931216604</v>
      </c>
      <c r="P74">
        <f>'Beam Balanced'!L84</f>
        <v>2.317562011519253</v>
      </c>
      <c r="Q74">
        <f>Conventional!D84</f>
        <v>-15.090322050553821</v>
      </c>
      <c r="R74">
        <f>'Beam Balanced'!D84</f>
        <v>-29.39142895625665</v>
      </c>
      <c r="S74">
        <f>'Mark II'!C84</f>
        <v>13.50396508470855</v>
      </c>
      <c r="T74">
        <f>Conventional!Q84</f>
        <v>-12929.95490046477</v>
      </c>
      <c r="U74">
        <f>'Beam Balanced'!Q84</f>
        <v>-86963.02454885014</v>
      </c>
      <c r="V74">
        <f>'Mark II'!P84</f>
        <v>48827.45659839979</v>
      </c>
    </row>
    <row r="75" spans="1:22" ht="12.75">
      <c r="A75">
        <f t="shared" si="1"/>
        <v>350</v>
      </c>
      <c r="B75">
        <f>Conventional!J85</f>
        <v>1.101976247554594</v>
      </c>
      <c r="C75">
        <f>'Mark II'!I85</f>
        <v>3.321895656270569</v>
      </c>
      <c r="D75">
        <f>'Air Balanced'!I85</f>
        <v>0.85176328128984</v>
      </c>
      <c r="E75">
        <f>RM!I85</f>
        <v>7.338911373753906</v>
      </c>
      <c r="F75">
        <f>'Beam Balanced'!J85</f>
        <v>2.7551930189110063</v>
      </c>
      <c r="G75">
        <f>Conventional!K85</f>
        <v>-0.6779201310713316</v>
      </c>
      <c r="H75">
        <f>'Mark II'!J85</f>
        <v>0.809034961595817</v>
      </c>
      <c r="I75">
        <f>'Air Balanced'!J85</f>
        <v>-0.7039923154744963</v>
      </c>
      <c r="J75">
        <f>RM!J85</f>
        <v>-1.896819311007514</v>
      </c>
      <c r="K75">
        <f>'Beam Balanced'!K85</f>
        <v>-1.3564321899681047</v>
      </c>
      <c r="L75">
        <f>Conventional!L85</f>
        <v>1.5838855147250694</v>
      </c>
      <c r="M75">
        <f>'Mark II'!K85</f>
        <v>1.4799165973000608</v>
      </c>
      <c r="N75">
        <f>'Air Balanced'!K85</f>
        <v>2.153248718105413</v>
      </c>
      <c r="O75">
        <f>RM!K85</f>
        <v>2.1266408407491255</v>
      </c>
      <c r="P75">
        <f>'Beam Balanced'!L85</f>
        <v>2.550567774284507</v>
      </c>
      <c r="Q75">
        <f>Conventional!D85</f>
        <v>-10.764885746094473</v>
      </c>
      <c r="R75">
        <f>'Beam Balanced'!D85</f>
        <v>-22.319296522598716</v>
      </c>
      <c r="S75">
        <f>'Mark II'!C85</f>
        <v>17.385521408355682</v>
      </c>
      <c r="T75">
        <f>Conventional!Q85</f>
        <v>-19909.63184538635</v>
      </c>
      <c r="U75">
        <f>'Beam Balanced'!Q85</f>
        <v>-95979.68561611947</v>
      </c>
      <c r="V75">
        <f>'Mark II'!P85</f>
        <v>14691.841434430273</v>
      </c>
    </row>
    <row r="76" spans="1:22" ht="12.75">
      <c r="A76">
        <f t="shared" si="1"/>
        <v>355</v>
      </c>
      <c r="B76">
        <f>Conventional!J86</f>
        <v>0.35932315102605794</v>
      </c>
      <c r="C76">
        <f>'Mark II'!I86</f>
        <v>5.005346954497461</v>
      </c>
      <c r="D76">
        <f>'Air Balanced'!I86</f>
        <v>0.17920901840628597</v>
      </c>
      <c r="E76">
        <f>RM!I86</f>
        <v>4.70418083128656</v>
      </c>
      <c r="F76">
        <f>'Beam Balanced'!J86</f>
        <v>1.1376570405088167</v>
      </c>
      <c r="G76">
        <f>Conventional!K86</f>
        <v>-0.44559185791712164</v>
      </c>
      <c r="H76">
        <f>'Mark II'!J86</f>
        <v>1.010070778936135</v>
      </c>
      <c r="I76">
        <f>'Air Balanced'!J86</f>
        <v>-0.4035325577301324</v>
      </c>
      <c r="J76">
        <f>RM!J86</f>
        <v>-1.5808383254804077</v>
      </c>
      <c r="K76">
        <f>'Beam Balanced'!K86</f>
        <v>-0.9705215870413139</v>
      </c>
      <c r="L76">
        <f>Conventional!L86</f>
        <v>1.6727142326411095</v>
      </c>
      <c r="M76">
        <f>'Mark II'!K86</f>
        <v>1.4475157854817085</v>
      </c>
      <c r="N76">
        <f>'Air Balanced'!K86</f>
        <v>2.163396791631085</v>
      </c>
      <c r="O76">
        <f>RM!K86</f>
        <v>2.2751541019592434</v>
      </c>
      <c r="P76">
        <f>'Beam Balanced'!L86</f>
        <v>2.778474394350989</v>
      </c>
      <c r="Q76">
        <f>Conventional!D86</f>
        <v>-6.222969106700876</v>
      </c>
      <c r="R76">
        <f>'Beam Balanced'!D86</f>
        <v>-14.656950693883253</v>
      </c>
      <c r="S76">
        <f>'Mark II'!C86</f>
        <v>21.184019887751138</v>
      </c>
      <c r="T76">
        <f>Conventional!Q86</f>
        <v>-22355.29949084278</v>
      </c>
      <c r="U76">
        <f>'Beam Balanced'!Q86</f>
        <v>-94717.26896753711</v>
      </c>
      <c r="V76">
        <f>'Mark II'!P86</f>
        <v>-14089.999466337671</v>
      </c>
    </row>
    <row r="77" spans="1:22" ht="12.75">
      <c r="A77">
        <f t="shared" si="1"/>
        <v>360</v>
      </c>
      <c r="B77">
        <f>Conventional!J87</f>
        <v>0.020809490799972963</v>
      </c>
      <c r="C77">
        <f>'Mark II'!I87</f>
        <v>7.01678808834423</v>
      </c>
      <c r="D77">
        <f>'Air Balanced'!I87</f>
        <v>0.005581621084018343</v>
      </c>
      <c r="E77">
        <f>RM!I87</f>
        <v>2.627797205454612</v>
      </c>
      <c r="F77">
        <f>'Beam Balanced'!J87</f>
        <v>0.21274358443424193</v>
      </c>
      <c r="G77">
        <f>Conventional!K87</f>
        <v>-0.203108196135651</v>
      </c>
      <c r="H77">
        <f>'Mark II'!J87</f>
        <v>1.2068646803080614</v>
      </c>
      <c r="I77">
        <f>'Air Balanced'!J87</f>
        <v>-0.10417643839336056</v>
      </c>
      <c r="J77">
        <f>RM!J87</f>
        <v>-1.2458301754991683</v>
      </c>
      <c r="K77">
        <f>'Beam Balanced'!K87</f>
        <v>-0.5549480736447449</v>
      </c>
      <c r="L77">
        <f>Conventional!L87</f>
        <v>1.7458308742973292</v>
      </c>
      <c r="M77">
        <f>'Mark II'!K87</f>
        <v>1.4169727687886218</v>
      </c>
      <c r="N77">
        <f>'Air Balanced'!K87</f>
        <v>2.155450277235847</v>
      </c>
      <c r="O77">
        <f>RM!K87</f>
        <v>2.4121551660715665</v>
      </c>
      <c r="P77">
        <f>'Beam Balanced'!L87</f>
        <v>2.9920410509215816</v>
      </c>
      <c r="Q77">
        <f>Conventional!D87</f>
        <v>-1.511368674356833</v>
      </c>
      <c r="R77">
        <f>'Beam Balanced'!D87</f>
        <v>-6.457040535219377</v>
      </c>
      <c r="S77">
        <f>'Mark II'!C87</f>
        <v>24.903098063488976</v>
      </c>
      <c r="T77">
        <f>Conventional!Q87</f>
        <v>-20252.340236381395</v>
      </c>
      <c r="U77">
        <f>'Beam Balanced'!Q87</f>
        <v>-82650.11885080779</v>
      </c>
      <c r="V77">
        <f>'Mark II'!P87</f>
        <v>-45496.875442660355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Kelley</dc:creator>
  <cp:keywords/>
  <dc:description/>
  <cp:lastModifiedBy>Bommer, Paul M</cp:lastModifiedBy>
  <dcterms:created xsi:type="dcterms:W3CDTF">2005-12-25T15:48:14Z</dcterms:created>
  <dcterms:modified xsi:type="dcterms:W3CDTF">2015-08-18T16:17:38Z</dcterms:modified>
  <cp:category/>
  <cp:version/>
  <cp:contentType/>
  <cp:contentStatus/>
</cp:coreProperties>
</file>